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8" yWindow="948" windowWidth="7620" windowHeight="7152" tabRatio="542" activeTab="1"/>
  </bookViews>
  <sheets>
    <sheet name="SALES SUMMARY" sheetId="1" r:id="rId1"/>
    <sheet name="SALES SUMMARY (2)" sheetId="6" r:id="rId2"/>
    <sheet name="ENTRY" sheetId="2" r:id="rId3"/>
    <sheet name="SC" sheetId="3" r:id="rId4"/>
    <sheet name="M &amp; C VALERO" sheetId="4" r:id="rId5"/>
    <sheet name="van dough" sheetId="5" r:id="rId6"/>
  </sheets>
  <definedNames>
    <definedName name="_xlnm.Print_Area" localSheetId="4">'M &amp; C VALERO'!$A$1:$G$129</definedName>
    <definedName name="_xlnm.Print_Area" localSheetId="3">SC!$A$1:$O$73</definedName>
  </definedNames>
  <calcPr calcId="124519"/>
</workbook>
</file>

<file path=xl/calcChain.xml><?xml version="1.0" encoding="utf-8"?>
<calcChain xmlns="http://schemas.openxmlformats.org/spreadsheetml/2006/main">
  <c r="AP79" i="6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U74"/>
  <c r="W73"/>
  <c r="AM112" i="1"/>
  <c r="AM106"/>
  <c r="AL106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AZ101"/>
  <c r="AY101"/>
  <c r="AX101"/>
  <c r="AW101"/>
  <c r="AV101"/>
  <c r="AU101"/>
  <c r="AT101"/>
  <c r="AS101"/>
  <c r="AR101"/>
  <c r="AQ101"/>
  <c r="AP101"/>
  <c r="AO101"/>
  <c r="AM101"/>
  <c r="AN101" s="1"/>
  <c r="AL101"/>
  <c r="AK101"/>
  <c r="AJ101"/>
  <c r="AI101"/>
  <c r="AH101"/>
  <c r="AG101"/>
  <c r="Y101"/>
  <c r="W101"/>
  <c r="V101"/>
  <c r="U101"/>
  <c r="T101"/>
  <c r="S101"/>
  <c r="R101"/>
  <c r="P101"/>
  <c r="O101"/>
  <c r="N101"/>
  <c r="M101"/>
  <c r="L101"/>
  <c r="J101"/>
  <c r="I101"/>
  <c r="H101"/>
  <c r="G101"/>
  <c r="E101"/>
  <c r="D101"/>
  <c r="C101"/>
  <c r="AM23"/>
  <c r="AL23"/>
  <c r="AK23"/>
  <c r="Z99"/>
  <c r="AL96"/>
  <c r="AM96" s="1"/>
  <c r="AN96" s="1"/>
  <c r="AK96"/>
  <c r="Z81" l="1"/>
  <c r="AK78"/>
  <c r="AL78" s="1"/>
  <c r="AM78" s="1"/>
  <c r="AN78" s="1"/>
  <c r="AK75"/>
  <c r="AL75" s="1"/>
  <c r="AM75" s="1"/>
  <c r="AN75" s="1"/>
  <c r="Z64"/>
  <c r="AK58"/>
  <c r="AL58" s="1"/>
  <c r="AM58" s="1"/>
  <c r="AN58" s="1"/>
  <c r="AL57"/>
  <c r="AM57" s="1"/>
  <c r="AN57" s="1"/>
  <c r="AK57"/>
  <c r="AL54"/>
  <c r="AM54" s="1"/>
  <c r="AN54" s="1"/>
  <c r="AK54"/>
  <c r="AI55"/>
  <c r="AH55"/>
  <c r="AG55"/>
  <c r="AK43"/>
  <c r="AL43" s="1"/>
  <c r="AM43" s="1"/>
  <c r="AN43" s="1"/>
  <c r="AK42"/>
  <c r="AL42" s="1"/>
  <c r="AM42" s="1"/>
  <c r="AN42" s="1"/>
  <c r="AK36"/>
  <c r="AL36" s="1"/>
  <c r="AM36" s="1"/>
  <c r="AN36" s="1"/>
  <c r="AK34"/>
  <c r="AL34" s="1"/>
  <c r="AM34" s="1"/>
  <c r="AN34" s="1"/>
  <c r="AK33"/>
  <c r="AL33" s="1"/>
  <c r="AM33" s="1"/>
  <c r="AN33" s="1"/>
  <c r="Z18"/>
  <c r="AL15"/>
  <c r="AM15" s="1"/>
  <c r="AN15" s="1"/>
  <c r="AK15"/>
  <c r="AK13"/>
  <c r="AL13" s="1"/>
  <c r="AM13" s="1"/>
  <c r="AN13" s="1"/>
  <c r="AK12"/>
  <c r="AL12" s="1"/>
  <c r="AM12" s="1"/>
  <c r="AN12" s="1"/>
  <c r="AK88" l="1"/>
  <c r="AK87"/>
  <c r="AL87" s="1"/>
  <c r="AM87" s="1"/>
  <c r="AN87" s="1"/>
  <c r="AK85"/>
  <c r="AK84"/>
  <c r="AL84" s="1"/>
  <c r="AM84" s="1"/>
  <c r="AN84" s="1"/>
  <c r="AK66"/>
  <c r="AL66" s="1"/>
  <c r="AM66" s="1"/>
  <c r="AN66" s="1"/>
  <c r="AK64"/>
  <c r="AL64" s="1"/>
  <c r="AM64" s="1"/>
  <c r="AN64" s="1"/>
  <c r="AK63"/>
  <c r="AL63" s="1"/>
  <c r="AM63" s="1"/>
  <c r="AN63" s="1"/>
  <c r="AK48"/>
  <c r="AL48" s="1"/>
  <c r="AM48" s="1"/>
  <c r="AN48" s="1"/>
  <c r="AK46"/>
  <c r="AL46" s="1"/>
  <c r="AM46" s="1"/>
  <c r="AN46" s="1"/>
  <c r="AK45"/>
  <c r="AL45" s="1"/>
  <c r="AM45" s="1"/>
  <c r="AN45" s="1"/>
  <c r="AK24"/>
  <c r="AL24" s="1"/>
  <c r="AM24" s="1"/>
  <c r="AN24" s="1"/>
  <c r="AL88" l="1"/>
  <c r="AM88" s="1"/>
  <c r="AN88" s="1"/>
  <c r="AL85"/>
  <c r="AM85" s="1"/>
  <c r="AN85" s="1"/>
  <c r="AK21"/>
  <c r="AL21" s="1"/>
  <c r="AM21" s="1"/>
  <c r="AN21" s="1"/>
  <c r="AK9"/>
  <c r="AL9" s="1"/>
  <c r="AM9" s="1"/>
  <c r="AN9" s="1"/>
  <c r="AL93"/>
  <c r="AM93" s="1"/>
  <c r="AN93" s="1"/>
  <c r="AK91"/>
  <c r="AL91" s="1"/>
  <c r="AM91" s="1"/>
  <c r="AN91" s="1"/>
  <c r="AL90"/>
  <c r="AM90" s="1"/>
  <c r="AN90" s="1"/>
  <c r="AL72"/>
  <c r="AM72" s="1"/>
  <c r="AN72" s="1"/>
  <c r="AL69"/>
  <c r="AM69" s="1"/>
  <c r="AN69" s="1"/>
  <c r="AL51"/>
  <c r="AM51" s="1"/>
  <c r="AN51" s="1"/>
  <c r="AL31"/>
  <c r="AM31" s="1"/>
  <c r="AN31" s="1"/>
  <c r="AK30"/>
  <c r="AL30" s="1"/>
  <c r="AM30" s="1"/>
  <c r="AN30" s="1"/>
  <c r="AK27"/>
  <c r="AL27" s="1"/>
  <c r="AM27" s="1"/>
  <c r="AN27" s="1"/>
  <c r="AK82" l="1"/>
  <c r="AL82" s="1"/>
  <c r="AM82" s="1"/>
  <c r="AN82" s="1"/>
  <c r="AK81"/>
  <c r="AL81" s="1"/>
  <c r="AM81" s="1"/>
  <c r="AN81" s="1"/>
  <c r="AK61"/>
  <c r="AL61" s="1"/>
  <c r="AM61" s="1"/>
  <c r="AN61" s="1"/>
  <c r="AK60"/>
  <c r="AL60" s="1"/>
  <c r="AM60" s="1"/>
  <c r="AN60" s="1"/>
  <c r="AK40"/>
  <c r="AL40" s="1"/>
  <c r="AM40" s="1"/>
  <c r="AN40" s="1"/>
  <c r="AK39"/>
  <c r="AL39" s="1"/>
  <c r="AM39" s="1"/>
  <c r="AN39" s="1"/>
  <c r="AK19"/>
  <c r="AL19" s="1"/>
  <c r="AM19" s="1"/>
  <c r="AN19" s="1"/>
  <c r="AK18"/>
  <c r="AL18" s="1"/>
  <c r="AM18" s="1"/>
  <c r="AN18" s="1"/>
  <c r="AK70" l="1"/>
  <c r="AL70" s="1"/>
  <c r="AM70" s="1"/>
  <c r="AN70" s="1"/>
  <c r="AK67" l="1"/>
  <c r="AL67" s="1"/>
  <c r="AM67" s="1"/>
  <c r="AN67" s="1"/>
  <c r="AK49"/>
  <c r="AL49" s="1"/>
  <c r="AM49" s="1"/>
  <c r="AN49" s="1"/>
  <c r="AK28"/>
  <c r="AL28" s="1"/>
  <c r="AM28" s="1"/>
  <c r="AN28" s="1"/>
  <c r="AK25"/>
  <c r="AL25" s="1"/>
  <c r="AM25" s="1"/>
  <c r="AN25" s="1"/>
  <c r="N22"/>
  <c r="M22"/>
  <c r="N21"/>
  <c r="M21"/>
  <c r="AL10"/>
  <c r="AM10" s="1"/>
  <c r="AN10" s="1"/>
  <c r="AI96"/>
  <c r="AH96"/>
  <c r="AG96"/>
  <c r="AK97"/>
  <c r="AL97" s="1"/>
  <c r="AM97" s="1"/>
  <c r="AN97" s="1"/>
  <c r="AR83"/>
  <c r="AK73"/>
  <c r="AL73" s="1"/>
  <c r="AM73" s="1"/>
  <c r="AN73" s="1"/>
  <c r="AL52"/>
  <c r="AM52" s="1"/>
  <c r="AN52" s="1"/>
  <c r="AI31"/>
  <c r="AH31"/>
  <c r="AG31"/>
  <c r="AI30"/>
  <c r="AH30"/>
  <c r="AG30"/>
  <c r="C104"/>
  <c r="AK62"/>
  <c r="S27" i="2" s="1"/>
  <c r="G87" i="1"/>
  <c r="G88"/>
  <c r="AZ64"/>
  <c r="G48"/>
  <c r="AK22"/>
  <c r="AL22" s="1"/>
  <c r="AM22" s="1"/>
  <c r="AN22" s="1"/>
  <c r="AK76"/>
  <c r="AL76" s="1"/>
  <c r="AM76" s="1"/>
  <c r="AN76" s="1"/>
  <c r="AK37"/>
  <c r="AL37" s="1"/>
  <c r="AM37" s="1"/>
  <c r="AN37" s="1"/>
  <c r="P13"/>
  <c r="N13"/>
  <c r="M13"/>
  <c r="AZ13"/>
  <c r="BR13" s="1"/>
  <c r="BR14" s="1"/>
  <c r="C34" i="2" s="1"/>
  <c r="AK79" i="1"/>
  <c r="AL79" s="1"/>
  <c r="AM79" s="1"/>
  <c r="G102"/>
  <c r="H102"/>
  <c r="M102"/>
  <c r="M104" s="1"/>
  <c r="N102"/>
  <c r="P102"/>
  <c r="T102"/>
  <c r="U102"/>
  <c r="W102"/>
  <c r="V102" s="1"/>
  <c r="AG102"/>
  <c r="AH102"/>
  <c r="AI102"/>
  <c r="AL102"/>
  <c r="AZ102"/>
  <c r="BC102"/>
  <c r="BD102"/>
  <c r="BR102"/>
  <c r="G103"/>
  <c r="H103"/>
  <c r="AF6" i="2"/>
  <c r="M103" i="1"/>
  <c r="N103"/>
  <c r="P103"/>
  <c r="T103"/>
  <c r="U103"/>
  <c r="W103"/>
  <c r="AG103"/>
  <c r="AH103"/>
  <c r="AH104"/>
  <c r="AI103"/>
  <c r="AK103"/>
  <c r="AK104" s="1"/>
  <c r="AL103"/>
  <c r="AZ103"/>
  <c r="BR103" s="1"/>
  <c r="AK94"/>
  <c r="AL94" s="1"/>
  <c r="AM94" s="1"/>
  <c r="AN94" s="1"/>
  <c r="BD25"/>
  <c r="C62"/>
  <c r="AZ67"/>
  <c r="BR67"/>
  <c r="BR68" s="1"/>
  <c r="U34" i="2" s="1"/>
  <c r="AI67" i="1"/>
  <c r="AH67"/>
  <c r="AG67"/>
  <c r="N67"/>
  <c r="M67"/>
  <c r="H67"/>
  <c r="G67"/>
  <c r="BD66"/>
  <c r="BC66"/>
  <c r="BR66"/>
  <c r="AZ66"/>
  <c r="AI66"/>
  <c r="AH66"/>
  <c r="AG66"/>
  <c r="N66"/>
  <c r="M66"/>
  <c r="H66"/>
  <c r="G66"/>
  <c r="BA56"/>
  <c r="H30"/>
  <c r="G30"/>
  <c r="BA86"/>
  <c r="H82"/>
  <c r="G82"/>
  <c r="H81"/>
  <c r="G81"/>
  <c r="G83" s="1"/>
  <c r="Z5" i="2" s="1"/>
  <c r="BA77" i="1"/>
  <c r="X31" i="2" s="1"/>
  <c r="BA65" i="1"/>
  <c r="AZ61"/>
  <c r="BR61"/>
  <c r="BR62" s="1"/>
  <c r="S34" i="2" s="1"/>
  <c r="AI61" i="1"/>
  <c r="AH61"/>
  <c r="AG61"/>
  <c r="W61"/>
  <c r="W62"/>
  <c r="S16" i="2"/>
  <c r="U61" i="1"/>
  <c r="T61"/>
  <c r="P61"/>
  <c r="N61"/>
  <c r="M61"/>
  <c r="H61"/>
  <c r="BA59"/>
  <c r="H90"/>
  <c r="H87"/>
  <c r="P82"/>
  <c r="N82"/>
  <c r="M82"/>
  <c r="P81"/>
  <c r="N81"/>
  <c r="M81"/>
  <c r="BA74"/>
  <c r="BA71"/>
  <c r="H70"/>
  <c r="G70"/>
  <c r="H69"/>
  <c r="G69"/>
  <c r="G71" s="1"/>
  <c r="V5" i="2" s="1"/>
  <c r="BA68" i="1"/>
  <c r="U31" i="2"/>
  <c r="BA50" i="1"/>
  <c r="O31" i="2" s="1"/>
  <c r="E98" i="1"/>
  <c r="AE3" i="2" s="1"/>
  <c r="N97" i="1"/>
  <c r="M97"/>
  <c r="N96"/>
  <c r="N98" s="1"/>
  <c r="AE10" i="2" s="1"/>
  <c r="M96" i="1"/>
  <c r="H97"/>
  <c r="G97"/>
  <c r="H96"/>
  <c r="G96"/>
  <c r="N91"/>
  <c r="M91"/>
  <c r="N90"/>
  <c r="M90"/>
  <c r="H91"/>
  <c r="G91"/>
  <c r="N70"/>
  <c r="M70"/>
  <c r="N69"/>
  <c r="N71" s="1"/>
  <c r="V10" i="2" s="1"/>
  <c r="M69" i="1"/>
  <c r="O69" s="1"/>
  <c r="H55"/>
  <c r="G55"/>
  <c r="H54"/>
  <c r="H56" s="1"/>
  <c r="Q6" i="2" s="1"/>
  <c r="G54" i="1"/>
  <c r="AG51"/>
  <c r="H52"/>
  <c r="G52"/>
  <c r="H51"/>
  <c r="G51"/>
  <c r="H49"/>
  <c r="G49"/>
  <c r="H48"/>
  <c r="H50" s="1"/>
  <c r="O6" i="2" s="1"/>
  <c r="BQ74" i="1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R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 s="1"/>
  <c r="L6" i="2" s="1"/>
  <c r="G39" i="1"/>
  <c r="H34"/>
  <c r="G34"/>
  <c r="H33"/>
  <c r="H35" s="1"/>
  <c r="J6" i="2" s="1"/>
  <c r="G33" i="1"/>
  <c r="H31"/>
  <c r="H32" s="1"/>
  <c r="I6" i="2" s="1"/>
  <c r="G31" i="1"/>
  <c r="G32" s="1"/>
  <c r="I5" i="2" s="1"/>
  <c r="N31" i="1"/>
  <c r="M31"/>
  <c r="N30"/>
  <c r="N32" s="1"/>
  <c r="I10" i="2" s="1"/>
  <c r="M30" i="1"/>
  <c r="N28"/>
  <c r="M28"/>
  <c r="N27"/>
  <c r="M27"/>
  <c r="H28"/>
  <c r="G28"/>
  <c r="H27"/>
  <c r="G27"/>
  <c r="N12"/>
  <c r="M12"/>
  <c r="N94"/>
  <c r="M94"/>
  <c r="N93"/>
  <c r="N95" s="1"/>
  <c r="AD10" i="2" s="1"/>
  <c r="M93" i="1"/>
  <c r="M95" s="1"/>
  <c r="AD9" i="2" s="1"/>
  <c r="H94" i="1"/>
  <c r="G94"/>
  <c r="H93"/>
  <c r="G93"/>
  <c r="G95" s="1"/>
  <c r="AD5" i="2" s="1"/>
  <c r="N88" i="1"/>
  <c r="M88"/>
  <c r="N87"/>
  <c r="M87"/>
  <c r="H88"/>
  <c r="N85"/>
  <c r="M85"/>
  <c r="N84"/>
  <c r="M84"/>
  <c r="H85"/>
  <c r="G85"/>
  <c r="H84"/>
  <c r="H86" s="1"/>
  <c r="AA6" i="2" s="1"/>
  <c r="G84" i="1"/>
  <c r="N76"/>
  <c r="M76"/>
  <c r="N75"/>
  <c r="M75"/>
  <c r="H76"/>
  <c r="G76"/>
  <c r="H75"/>
  <c r="G75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G62"/>
  <c r="AK55"/>
  <c r="AL55" s="1"/>
  <c r="N55"/>
  <c r="M55"/>
  <c r="N54"/>
  <c r="N56" s="1"/>
  <c r="Q10" i="2" s="1"/>
  <c r="M54" i="1"/>
  <c r="M56" s="1"/>
  <c r="Q9" i="2" s="1"/>
  <c r="N49" i="1"/>
  <c r="M49"/>
  <c r="N48"/>
  <c r="M48"/>
  <c r="AG45"/>
  <c r="AH45"/>
  <c r="AI45"/>
  <c r="N52"/>
  <c r="M52"/>
  <c r="N51"/>
  <c r="M51"/>
  <c r="N46"/>
  <c r="M46"/>
  <c r="N45"/>
  <c r="M45"/>
  <c r="H46"/>
  <c r="G46"/>
  <c r="G47" s="1"/>
  <c r="N5" i="2" s="1"/>
  <c r="H45" i="1"/>
  <c r="H47" s="1"/>
  <c r="N6" i="2" s="1"/>
  <c r="N42" i="1"/>
  <c r="M42"/>
  <c r="N43"/>
  <c r="M43"/>
  <c r="H43"/>
  <c r="G43"/>
  <c r="H42"/>
  <c r="H44" s="1"/>
  <c r="M6" i="2" s="1"/>
  <c r="G42" i="1"/>
  <c r="G44" s="1"/>
  <c r="M5" i="2" s="1"/>
  <c r="N40" i="1"/>
  <c r="M40"/>
  <c r="N39"/>
  <c r="N41" s="1"/>
  <c r="L10" i="2" s="1"/>
  <c r="M39" i="1"/>
  <c r="N34"/>
  <c r="M34"/>
  <c r="N33"/>
  <c r="M33"/>
  <c r="M35" s="1"/>
  <c r="J9" i="2" s="1"/>
  <c r="N25" i="1"/>
  <c r="M25"/>
  <c r="N24"/>
  <c r="M24"/>
  <c r="M26" s="1"/>
  <c r="G9" i="2" s="1"/>
  <c r="H25" i="1"/>
  <c r="G25"/>
  <c r="H24"/>
  <c r="H26" s="1"/>
  <c r="G24"/>
  <c r="N23"/>
  <c r="F10" i="2" s="1"/>
  <c r="H22" i="1"/>
  <c r="G22"/>
  <c r="H21"/>
  <c r="H23" s="1"/>
  <c r="F6" i="2" s="1"/>
  <c r="G21" i="1"/>
  <c r="G23" s="1"/>
  <c r="F5" i="2" s="1"/>
  <c r="N19" i="1"/>
  <c r="M19"/>
  <c r="N18"/>
  <c r="M18"/>
  <c r="H19"/>
  <c r="G19"/>
  <c r="H18"/>
  <c r="H20" s="1"/>
  <c r="E6" i="2" s="1"/>
  <c r="G18" i="1"/>
  <c r="G20" s="1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Y3" i="2" s="1"/>
  <c r="C83" i="1"/>
  <c r="D83"/>
  <c r="E83"/>
  <c r="Z3" i="2" s="1"/>
  <c r="C86" i="1"/>
  <c r="D86"/>
  <c r="E86"/>
  <c r="AA3" i="2" s="1"/>
  <c r="C89" i="1"/>
  <c r="D89"/>
  <c r="E89"/>
  <c r="AB3" i="2" s="1"/>
  <c r="C92" i="1"/>
  <c r="D92"/>
  <c r="E92"/>
  <c r="AC3" i="2" s="1"/>
  <c r="C95" i="1"/>
  <c r="D95"/>
  <c r="E95"/>
  <c r="AD3" i="2" s="1"/>
  <c r="C98" i="1"/>
  <c r="D98"/>
  <c r="F24" i="5"/>
  <c r="AP41" i="1"/>
  <c r="AZ43"/>
  <c r="AI43"/>
  <c r="AH43"/>
  <c r="AH44" s="1"/>
  <c r="M24" i="2" s="1"/>
  <c r="AG43" i="1"/>
  <c r="BD42"/>
  <c r="BD44"/>
  <c r="BC42"/>
  <c r="BC44"/>
  <c r="AZ42"/>
  <c r="BR42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 s="1"/>
  <c r="BR98" s="1"/>
  <c r="AE34" i="2" s="1"/>
  <c r="AI97" i="1"/>
  <c r="AH97"/>
  <c r="AH98" s="1"/>
  <c r="AE24" i="2" s="1"/>
  <c r="AG97" i="1"/>
  <c r="BD96"/>
  <c r="BC96"/>
  <c r="BC98"/>
  <c r="AZ96"/>
  <c r="BR96"/>
  <c r="V98"/>
  <c r="H98"/>
  <c r="AE6" i="2" s="1"/>
  <c r="BQ104" i="1"/>
  <c r="BP104"/>
  <c r="BO104"/>
  <c r="BN104"/>
  <c r="BM104"/>
  <c r="BL104"/>
  <c r="BK104"/>
  <c r="BJ104"/>
  <c r="BI104"/>
  <c r="BH104"/>
  <c r="BG104"/>
  <c r="BF104"/>
  <c r="BE104"/>
  <c r="BB104"/>
  <c r="AY104"/>
  <c r="AX104"/>
  <c r="AW104"/>
  <c r="AV104"/>
  <c r="AU104"/>
  <c r="AT104"/>
  <c r="AS104"/>
  <c r="AR104"/>
  <c r="AQ104"/>
  <c r="AP104"/>
  <c r="AO104"/>
  <c r="AJ104"/>
  <c r="Y104"/>
  <c r="S104"/>
  <c r="R104"/>
  <c r="L104"/>
  <c r="J104"/>
  <c r="I104"/>
  <c r="E104"/>
  <c r="D104"/>
  <c r="AF25" i="2"/>
  <c r="AF5"/>
  <c r="BD104" i="1"/>
  <c r="BC104"/>
  <c r="W104"/>
  <c r="T104"/>
  <c r="N104"/>
  <c r="H104"/>
  <c r="I98"/>
  <c r="J98"/>
  <c r="L98"/>
  <c r="P98"/>
  <c r="R98"/>
  <c r="S98"/>
  <c r="T98"/>
  <c r="U98"/>
  <c r="AE14" i="2"/>
  <c r="W98" i="1"/>
  <c r="AE16" i="2"/>
  <c r="Y98" i="1"/>
  <c r="AJ98"/>
  <c r="AO98"/>
  <c r="AP98"/>
  <c r="AQ98"/>
  <c r="AR98"/>
  <c r="AS98"/>
  <c r="AT98"/>
  <c r="AU98"/>
  <c r="AV98"/>
  <c r="AW98"/>
  <c r="AX98"/>
  <c r="AY98"/>
  <c r="BA98"/>
  <c r="AE31" i="2" s="1"/>
  <c r="BB98" i="1"/>
  <c r="BD98"/>
  <c r="AE33" i="2"/>
  <c r="BE98" i="1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 s="1"/>
  <c r="AM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 s="1"/>
  <c r="AM100" s="1"/>
  <c r="AN100" s="1"/>
  <c r="AZ100"/>
  <c r="BR100" s="1"/>
  <c r="AF9" i="2"/>
  <c r="AF17"/>
  <c r="AF26"/>
  <c r="AF32"/>
  <c r="M92" i="1"/>
  <c r="AZ82"/>
  <c r="BR82" s="1"/>
  <c r="AI82"/>
  <c r="AH82"/>
  <c r="AG82"/>
  <c r="N79"/>
  <c r="M79"/>
  <c r="N78"/>
  <c r="N80" s="1"/>
  <c r="Y10" i="2" s="1"/>
  <c r="M78" i="1"/>
  <c r="N58"/>
  <c r="N59" s="1"/>
  <c r="R10" i="2" s="1"/>
  <c r="M58" i="1"/>
  <c r="N57"/>
  <c r="M57"/>
  <c r="O57" s="1"/>
  <c r="N37"/>
  <c r="M37"/>
  <c r="N36"/>
  <c r="M36"/>
  <c r="M38" s="1"/>
  <c r="K9" i="2" s="1"/>
  <c r="AN23" i="1"/>
  <c r="P15"/>
  <c r="N15"/>
  <c r="M15"/>
  <c r="M10"/>
  <c r="N10"/>
  <c r="O10" s="1"/>
  <c r="P10"/>
  <c r="BA80"/>
  <c r="Y31" i="2" s="1"/>
  <c r="AZ76" i="1"/>
  <c r="BR76" s="1"/>
  <c r="BR77" s="1"/>
  <c r="X34" i="2" s="1"/>
  <c r="AI76" i="1"/>
  <c r="AH76"/>
  <c r="AG76"/>
  <c r="BD75"/>
  <c r="BC75"/>
  <c r="BC77"/>
  <c r="AZ75"/>
  <c r="AI75"/>
  <c r="AH75"/>
  <c r="AG75"/>
  <c r="BF95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6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/>
  <c r="BD87"/>
  <c r="BD89"/>
  <c r="BC87"/>
  <c r="BC89"/>
  <c r="BD84"/>
  <c r="BD86"/>
  <c r="BC84"/>
  <c r="BC86"/>
  <c r="BD81"/>
  <c r="BC81"/>
  <c r="BC83"/>
  <c r="BD78"/>
  <c r="BC78"/>
  <c r="BC80"/>
  <c r="BD73"/>
  <c r="BD74" s="1"/>
  <c r="BC73"/>
  <c r="BC74" s="1"/>
  <c r="BC106" s="1"/>
  <c r="C109" s="1"/>
  <c r="BD72"/>
  <c r="BC72"/>
  <c r="BD69"/>
  <c r="BD71"/>
  <c r="BC69"/>
  <c r="BC71"/>
  <c r="BD68"/>
  <c r="BC68"/>
  <c r="BD63"/>
  <c r="BD65"/>
  <c r="BC63"/>
  <c r="BC65"/>
  <c r="BD60"/>
  <c r="BD62"/>
  <c r="BC60"/>
  <c r="BC62"/>
  <c r="BD57"/>
  <c r="BD59"/>
  <c r="BC57"/>
  <c r="BC59"/>
  <c r="BD54"/>
  <c r="BD56"/>
  <c r="BC54"/>
  <c r="BC56"/>
  <c r="BD51"/>
  <c r="BD53"/>
  <c r="BC51"/>
  <c r="BC53"/>
  <c r="BD48"/>
  <c r="BD50"/>
  <c r="BC48"/>
  <c r="BC50"/>
  <c r="BD45"/>
  <c r="BD47"/>
  <c r="BC45"/>
  <c r="BC47"/>
  <c r="BD39"/>
  <c r="BC39"/>
  <c r="BC41"/>
  <c r="BD36"/>
  <c r="BC36"/>
  <c r="BC38"/>
  <c r="BD33"/>
  <c r="BC33"/>
  <c r="BC35"/>
  <c r="BD30"/>
  <c r="BC30"/>
  <c r="BC32"/>
  <c r="BD28"/>
  <c r="BD27"/>
  <c r="BC27"/>
  <c r="BC29"/>
  <c r="BC25"/>
  <c r="BD24"/>
  <c r="BC24"/>
  <c r="BC26"/>
  <c r="BD21"/>
  <c r="BC21"/>
  <c r="BC23"/>
  <c r="BD18"/>
  <c r="BC18"/>
  <c r="BC20"/>
  <c r="BD15"/>
  <c r="BC15"/>
  <c r="BC17"/>
  <c r="BD12"/>
  <c r="BC12"/>
  <c r="BC14"/>
  <c r="C33" i="2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5" i="1"/>
  <c r="J27" i="2" s="1"/>
  <c r="A5" i="4"/>
  <c r="A103" s="1"/>
  <c r="A3"/>
  <c r="A37" s="1"/>
  <c r="A69" s="1"/>
  <c r="A101" s="1"/>
  <c r="Z18" i="2"/>
  <c r="BQ108" i="1"/>
  <c r="BP108"/>
  <c r="BO108"/>
  <c r="BN108"/>
  <c r="BM108"/>
  <c r="BL108"/>
  <c r="K54" i="3"/>
  <c r="M54" s="1"/>
  <c r="K53"/>
  <c r="N53" s="1"/>
  <c r="K51"/>
  <c r="M51" s="1"/>
  <c r="K50"/>
  <c r="M50" s="1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 s="1"/>
  <c r="K29"/>
  <c r="N29" s="1"/>
  <c r="K26"/>
  <c r="N26" s="1"/>
  <c r="K23"/>
  <c r="L23" s="1"/>
  <c r="K21"/>
  <c r="M21" s="1"/>
  <c r="K20"/>
  <c r="L20" s="1"/>
  <c r="K18"/>
  <c r="M18" s="1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 s="1"/>
  <c r="G21"/>
  <c r="AI10" i="1"/>
  <c r="AI13"/>
  <c r="AI18"/>
  <c r="AI19"/>
  <c r="AI20" s="1"/>
  <c r="E25" i="2" s="1"/>
  <c r="AI21" i="1"/>
  <c r="AI22"/>
  <c r="AI24"/>
  <c r="AI25"/>
  <c r="AI26" s="1"/>
  <c r="G25" i="2" s="1"/>
  <c r="AI27" i="1"/>
  <c r="AI28"/>
  <c r="AI34"/>
  <c r="AI33"/>
  <c r="AI36"/>
  <c r="AI37"/>
  <c r="AI39"/>
  <c r="AI40"/>
  <c r="AI46"/>
  <c r="AI48"/>
  <c r="AI49"/>
  <c r="AI51"/>
  <c r="AI52"/>
  <c r="AI53"/>
  <c r="AI60"/>
  <c r="AI63"/>
  <c r="AI64"/>
  <c r="AI65" s="1"/>
  <c r="T25" i="2" s="1"/>
  <c r="AJ14" i="1"/>
  <c r="AJ29"/>
  <c r="AJ32"/>
  <c r="AJ41"/>
  <c r="Z106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59" s="1"/>
  <c r="R30" i="2" s="1"/>
  <c r="AZ16" i="1"/>
  <c r="AZ19"/>
  <c r="BR19" s="1"/>
  <c r="AZ22"/>
  <c r="BR22" s="1"/>
  <c r="BR23" s="1"/>
  <c r="F34" i="2" s="1"/>
  <c r="AZ28" i="1"/>
  <c r="BR28" s="1"/>
  <c r="BR29" s="1"/>
  <c r="H34" i="2" s="1"/>
  <c r="AZ31" i="1"/>
  <c r="BR31" s="1"/>
  <c r="BR32" s="1"/>
  <c r="I34" i="2" s="1"/>
  <c r="AZ34" i="1"/>
  <c r="AZ35" s="1"/>
  <c r="J30" i="2" s="1"/>
  <c r="AZ37" i="1"/>
  <c r="BR37" s="1"/>
  <c r="BR38" s="1"/>
  <c r="K34" i="2" s="1"/>
  <c r="AZ39" i="1"/>
  <c r="AZ40"/>
  <c r="BR40" s="1"/>
  <c r="BR41" s="1"/>
  <c r="L34" i="2" s="1"/>
  <c r="AZ49" i="1"/>
  <c r="BR49" s="1"/>
  <c r="AZ51"/>
  <c r="AZ10"/>
  <c r="AZ46"/>
  <c r="BR46" s="1"/>
  <c r="BR47" s="1"/>
  <c r="N34" i="2" s="1"/>
  <c r="AZ55" i="1"/>
  <c r="BR55" s="1"/>
  <c r="BR56" s="1"/>
  <c r="Q34" i="2" s="1"/>
  <c r="BA32" i="1"/>
  <c r="I31" i="2" s="1"/>
  <c r="BA95" i="1"/>
  <c r="AD31" i="2" s="1"/>
  <c r="BA20" i="1"/>
  <c r="BA29"/>
  <c r="BH14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C17"/>
  <c r="D17" s="1"/>
  <c r="C21"/>
  <c r="D21" s="1"/>
  <c r="C29"/>
  <c r="F29" s="1"/>
  <c r="C41"/>
  <c r="F41" s="1"/>
  <c r="C45"/>
  <c r="D45" s="1"/>
  <c r="K44"/>
  <c r="M44" s="1"/>
  <c r="K36"/>
  <c r="L36" s="1"/>
  <c r="K30"/>
  <c r="L30" s="1"/>
  <c r="K27"/>
  <c r="N27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H106"/>
  <c r="BG95"/>
  <c r="BE95"/>
  <c r="BB95"/>
  <c r="AY95"/>
  <c r="AX95"/>
  <c r="AW95"/>
  <c r="AV95"/>
  <c r="AT95"/>
  <c r="AS95"/>
  <c r="AR95"/>
  <c r="AQ95"/>
  <c r="AP95"/>
  <c r="AO95"/>
  <c r="BD95"/>
  <c r="AZ94"/>
  <c r="BR94" s="1"/>
  <c r="BR95" s="1"/>
  <c r="AD34" i="2" s="1"/>
  <c r="AZ93" i="1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BR89" s="1"/>
  <c r="AB34" i="2" s="1"/>
  <c r="AZ87" i="1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BR86" s="1"/>
  <c r="AA34" i="2" s="1"/>
  <c r="AZ84" i="1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80" s="1"/>
  <c r="Y30" i="2" s="1"/>
  <c r="AZ78" i="1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4" s="1"/>
  <c r="W30" i="2" s="1"/>
  <c r="AZ72" i="1"/>
  <c r="AZ70"/>
  <c r="BR70" s="1"/>
  <c r="BR71" s="1"/>
  <c r="V34" i="2" s="1"/>
  <c r="AZ69" i="1"/>
  <c r="U32" i="2"/>
  <c r="AZ68" i="1"/>
  <c r="AZ60"/>
  <c r="AZ62"/>
  <c r="S30" i="2" s="1"/>
  <c r="R32"/>
  <c r="AZ57" i="1"/>
  <c r="AZ54"/>
  <c r="AZ52"/>
  <c r="AZ53" s="1"/>
  <c r="AZ48"/>
  <c r="AZ45"/>
  <c r="M31" i="2"/>
  <c r="BQ41" i="1"/>
  <c r="BP41"/>
  <c r="BO41"/>
  <c r="BN41"/>
  <c r="BM41"/>
  <c r="BL41"/>
  <c r="BK41"/>
  <c r="BJ41"/>
  <c r="BI41"/>
  <c r="BI107" s="1"/>
  <c r="BI108" s="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L106" s="1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/>
  <c r="AZ30" i="1"/>
  <c r="BQ29"/>
  <c r="BP29"/>
  <c r="BO29"/>
  <c r="BN29"/>
  <c r="BM29"/>
  <c r="BL29"/>
  <c r="BK29"/>
  <c r="BJ29"/>
  <c r="BJ107" s="1"/>
  <c r="BJ108" s="1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/>
  <c r="BQ20"/>
  <c r="BP20"/>
  <c r="BO20"/>
  <c r="BN20"/>
  <c r="BM20"/>
  <c r="BL20"/>
  <c r="BK20"/>
  <c r="BJ20"/>
  <c r="BI20"/>
  <c r="BH20"/>
  <c r="BE20"/>
  <c r="BB20"/>
  <c r="E32" i="2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6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G11"/>
  <c r="BB11"/>
  <c r="BA11"/>
  <c r="B31" i="2" s="1"/>
  <c r="AY11" i="1"/>
  <c r="AY106"/>
  <c r="AX11"/>
  <c r="AW11"/>
  <c r="AV11"/>
  <c r="AT11"/>
  <c r="AS11"/>
  <c r="AR11"/>
  <c r="AP11"/>
  <c r="AJ89"/>
  <c r="AJ86"/>
  <c r="AJ35"/>
  <c r="AJ11"/>
  <c r="B26" i="2"/>
  <c r="AF21"/>
  <c r="AE19"/>
  <c r="Y95" i="1"/>
  <c r="AD17" i="2"/>
  <c r="AC20"/>
  <c r="AC19"/>
  <c r="Y92" i="1"/>
  <c r="AC17" i="2"/>
  <c r="AB22"/>
  <c r="AB21"/>
  <c r="AB18"/>
  <c r="Y89" i="1"/>
  <c r="AB17" i="2"/>
  <c r="AA21"/>
  <c r="AA19"/>
  <c r="Y86" i="1"/>
  <c r="AA17" i="2"/>
  <c r="Z22"/>
  <c r="Y83" i="1"/>
  <c r="Z17" i="2"/>
  <c r="Y19"/>
  <c r="Y80" i="1"/>
  <c r="Y17" i="2"/>
  <c r="X21"/>
  <c r="AA106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 s="1"/>
  <c r="L14" i="1"/>
  <c r="P14"/>
  <c r="I17"/>
  <c r="J17"/>
  <c r="D8" i="2"/>
  <c r="L17" i="1"/>
  <c r="P17"/>
  <c r="D12" i="2"/>
  <c r="I20" i="1"/>
  <c r="E7" i="2" s="1"/>
  <c r="J20" i="1"/>
  <c r="E8" i="2"/>
  <c r="L20" i="1"/>
  <c r="P20"/>
  <c r="I23"/>
  <c r="F7" i="2"/>
  <c r="J23" i="1"/>
  <c r="F8" i="2"/>
  <c r="L23" i="1"/>
  <c r="I26"/>
  <c r="G7" i="2"/>
  <c r="J26" i="1"/>
  <c r="G8" i="2"/>
  <c r="L26" i="1"/>
  <c r="I29"/>
  <c r="H7" i="2"/>
  <c r="J29" i="1"/>
  <c r="H8" i="2"/>
  <c r="L29" i="1"/>
  <c r="I32"/>
  <c r="I7" i="2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/>
  <c r="L77" i="1"/>
  <c r="Y7" i="2"/>
  <c r="J80" i="1"/>
  <c r="Y8" i="2"/>
  <c r="L80" i="1"/>
  <c r="I83"/>
  <c r="Z7" i="2"/>
  <c r="J83" i="1"/>
  <c r="Z8" i="2"/>
  <c r="L83" i="1"/>
  <c r="I86"/>
  <c r="AA7" i="2" s="1"/>
  <c r="J86" i="1"/>
  <c r="AA8" i="2"/>
  <c r="L86" i="1"/>
  <c r="I89"/>
  <c r="AB7" i="2"/>
  <c r="J89" i="1"/>
  <c r="L89"/>
  <c r="I92"/>
  <c r="AC7" i="2"/>
  <c r="J92" i="1"/>
  <c r="AC8" i="2"/>
  <c r="I95" i="1"/>
  <c r="AD7" i="2"/>
  <c r="J95" i="1"/>
  <c r="AD8" i="2"/>
  <c r="L95" i="1"/>
  <c r="AE8" i="2"/>
  <c r="AF7"/>
  <c r="AF8"/>
  <c r="W3"/>
  <c r="K3"/>
  <c r="H3"/>
  <c r="F3"/>
  <c r="AB8"/>
  <c r="P8"/>
  <c r="K7"/>
  <c r="J7"/>
  <c r="B2"/>
  <c r="C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H95" s="1"/>
  <c r="AD24" i="2" s="1"/>
  <c r="AG94" i="1"/>
  <c r="AG93"/>
  <c r="AG95" s="1"/>
  <c r="AD23" i="2" s="1"/>
  <c r="AI93" i="1"/>
  <c r="W95"/>
  <c r="AD16" i="2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B32" i="2"/>
  <c r="AB26"/>
  <c r="AB20"/>
  <c r="AB19"/>
  <c r="S89" i="1"/>
  <c r="R89"/>
  <c r="AI88"/>
  <c r="AI87"/>
  <c r="AI89"/>
  <c r="AB25" i="2" s="1"/>
  <c r="AH88" i="1"/>
  <c r="AG88"/>
  <c r="AH87"/>
  <c r="AH89" s="1"/>
  <c r="AB24" i="2" s="1"/>
  <c r="AG87" i="1"/>
  <c r="W89"/>
  <c r="AB16" i="2"/>
  <c r="U89" i="1"/>
  <c r="AB14" i="2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I83" s="1"/>
  <c r="Z25" i="2" s="1"/>
  <c r="AH81" i="1"/>
  <c r="AH83" s="1"/>
  <c r="Z24" i="2" s="1"/>
  <c r="AG81" i="1"/>
  <c r="AG83" s="1"/>
  <c r="Z23" i="2" s="1"/>
  <c r="W83" i="1"/>
  <c r="Z16" i="2"/>
  <c r="T83" i="1"/>
  <c r="Z13" i="2"/>
  <c r="H83" i="1"/>
  <c r="Z6" i="2" s="1"/>
  <c r="Y32"/>
  <c r="Y26"/>
  <c r="Y22"/>
  <c r="Y21"/>
  <c r="Y20"/>
  <c r="S80" i="1"/>
  <c r="R80"/>
  <c r="AI79"/>
  <c r="AI78"/>
  <c r="AI80" s="1"/>
  <c r="Y25" i="2" s="1"/>
  <c r="AH79" i="1"/>
  <c r="AG79"/>
  <c r="AG80" s="1"/>
  <c r="Y23" i="2" s="1"/>
  <c r="W79" i="1"/>
  <c r="U79"/>
  <c r="T79"/>
  <c r="V79"/>
  <c r="P79"/>
  <c r="H79"/>
  <c r="G79"/>
  <c r="AH78"/>
  <c r="AH80" s="1"/>
  <c r="Y24" i="2" s="1"/>
  <c r="AG78" i="1"/>
  <c r="W78"/>
  <c r="U78"/>
  <c r="T78"/>
  <c r="P78"/>
  <c r="P80"/>
  <c r="Y12" i="2"/>
  <c r="H78" i="1"/>
  <c r="G78"/>
  <c r="G80" s="1"/>
  <c r="Y5" i="2" s="1"/>
  <c r="X32"/>
  <c r="X22"/>
  <c r="X20"/>
  <c r="X19"/>
  <c r="S77" i="1"/>
  <c r="R77"/>
  <c r="W77"/>
  <c r="X16" i="2"/>
  <c r="U77" i="1"/>
  <c r="X14" i="2"/>
  <c r="T77" i="1"/>
  <c r="X13" i="2"/>
  <c r="N77" i="1"/>
  <c r="X10" i="2" s="1"/>
  <c r="W32"/>
  <c r="W26"/>
  <c r="W22"/>
  <c r="W19"/>
  <c r="AI73" i="1"/>
  <c r="AH73"/>
  <c r="AG73"/>
  <c r="AI72"/>
  <c r="AI74" s="1"/>
  <c r="W25" i="2" s="1"/>
  <c r="AH72" i="1"/>
  <c r="AH74" s="1"/>
  <c r="W24" i="2" s="1"/>
  <c r="AG72" i="1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AG71" s="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G60"/>
  <c r="AG62" s="1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/>
  <c r="R25" i="2" s="1"/>
  <c r="AH57" i="1"/>
  <c r="AH59" s="1"/>
  <c r="R24" i="2" s="1"/>
  <c r="W57" i="1"/>
  <c r="W59"/>
  <c r="R16" i="2"/>
  <c r="U57" i="1"/>
  <c r="U59"/>
  <c r="T57"/>
  <c r="P57"/>
  <c r="P59"/>
  <c r="R12" i="2"/>
  <c r="H57" i="1"/>
  <c r="Q32" i="2"/>
  <c r="Q22"/>
  <c r="Q21"/>
  <c r="Q20"/>
  <c r="Q18"/>
  <c r="Q17"/>
  <c r="AG54" i="1"/>
  <c r="AG56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/>
  <c r="U41" i="1"/>
  <c r="L14" i="2"/>
  <c r="P41" i="1"/>
  <c r="L12" i="2"/>
  <c r="K32"/>
  <c r="K26"/>
  <c r="K20"/>
  <c r="K19"/>
  <c r="K17"/>
  <c r="S38" i="1"/>
  <c r="R38"/>
  <c r="AH37"/>
  <c r="AG37"/>
  <c r="W37"/>
  <c r="U37"/>
  <c r="T37"/>
  <c r="P37"/>
  <c r="H37"/>
  <c r="G37"/>
  <c r="AH36"/>
  <c r="AG36"/>
  <c r="AG38" s="1"/>
  <c r="K23" i="2" s="1"/>
  <c r="W36" i="1"/>
  <c r="U36"/>
  <c r="T36"/>
  <c r="P36"/>
  <c r="H36"/>
  <c r="H38" s="1"/>
  <c r="K6" i="2" s="1"/>
  <c r="G36" i="1"/>
  <c r="G38" s="1"/>
  <c r="K5" i="2" s="1"/>
  <c r="J32"/>
  <c r="J21"/>
  <c r="J19"/>
  <c r="J17"/>
  <c r="AH34" i="1"/>
  <c r="AG34"/>
  <c r="AH33"/>
  <c r="AH35" s="1"/>
  <c r="J24" i="2" s="1"/>
  <c r="AG33" i="1"/>
  <c r="AG35" s="1"/>
  <c r="J23" i="2" s="1"/>
  <c r="W35" i="1"/>
  <c r="J16" i="2"/>
  <c r="U35" i="1"/>
  <c r="J14" i="2"/>
  <c r="T35" i="1"/>
  <c r="P35"/>
  <c r="J12" i="2"/>
  <c r="N35" i="1"/>
  <c r="I32" i="2"/>
  <c r="I26"/>
  <c r="I22"/>
  <c r="I20"/>
  <c r="I19"/>
  <c r="I17"/>
  <c r="S32" i="1"/>
  <c r="R32"/>
  <c r="P32"/>
  <c r="I12" i="2"/>
  <c r="H31"/>
  <c r="H26"/>
  <c r="H22"/>
  <c r="H17"/>
  <c r="S29" i="1"/>
  <c r="R29"/>
  <c r="AH28"/>
  <c r="AG28"/>
  <c r="AH27"/>
  <c r="AH29" s="1"/>
  <c r="H24" i="2" s="1"/>
  <c r="AG27" i="1"/>
  <c r="W29"/>
  <c r="H16" i="2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/>
  <c r="E31"/>
  <c r="E26"/>
  <c r="E22"/>
  <c r="E20"/>
  <c r="S20" i="1"/>
  <c r="R20"/>
  <c r="AH19"/>
  <c r="AH18"/>
  <c r="AH20" s="1"/>
  <c r="E24" i="2" s="1"/>
  <c r="AG19" i="1"/>
  <c r="W20"/>
  <c r="E16" i="2"/>
  <c r="AG18" i="1"/>
  <c r="AG20" s="1"/>
  <c r="E23" i="2" s="1"/>
  <c r="U20" i="1"/>
  <c r="E14" i="2"/>
  <c r="D32"/>
  <c r="D26"/>
  <c r="D20"/>
  <c r="D17"/>
  <c r="S17" i="1"/>
  <c r="R17"/>
  <c r="AI16"/>
  <c r="AH16"/>
  <c r="AH15"/>
  <c r="AH17"/>
  <c r="D24" i="2" s="1"/>
  <c r="AG16" i="1"/>
  <c r="H15"/>
  <c r="H17" s="1"/>
  <c r="D6" i="2" s="1"/>
  <c r="AI15" i="1"/>
  <c r="AG15"/>
  <c r="W15"/>
  <c r="W17"/>
  <c r="D16" i="2"/>
  <c r="U15" i="1"/>
  <c r="T15"/>
  <c r="T17"/>
  <c r="D13" i="2"/>
  <c r="G15" i="1"/>
  <c r="G17" s="1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T14"/>
  <c r="C13" i="2"/>
  <c r="B32"/>
  <c r="B22"/>
  <c r="B20"/>
  <c r="S11" i="1"/>
  <c r="R11"/>
  <c r="AH10"/>
  <c r="AG10"/>
  <c r="W10"/>
  <c r="U10"/>
  <c r="T10"/>
  <c r="H10"/>
  <c r="G10"/>
  <c r="AI9"/>
  <c r="AI11"/>
  <c r="B25" i="2" s="1"/>
  <c r="AH9" i="1"/>
  <c r="AG9"/>
  <c r="AG11" s="1"/>
  <c r="B23" i="2" s="1"/>
  <c r="W9" i="1"/>
  <c r="W11"/>
  <c r="U9"/>
  <c r="T9"/>
  <c r="T11"/>
  <c r="B13" i="2"/>
  <c r="P9" i="1"/>
  <c r="P11"/>
  <c r="B12" i="2"/>
  <c r="N9" i="1"/>
  <c r="N11" s="1"/>
  <c r="B10" i="2" s="1"/>
  <c r="M9" i="1"/>
  <c r="M11"/>
  <c r="B9" i="2" s="1"/>
  <c r="H9" i="1"/>
  <c r="G9"/>
  <c r="G11" s="1"/>
  <c r="B5" i="2" s="1"/>
  <c r="B17"/>
  <c r="T89" i="1"/>
  <c r="AB13" i="2"/>
  <c r="T95" i="1"/>
  <c r="AD13" i="2"/>
  <c r="AE13"/>
  <c r="T41" i="1"/>
  <c r="L13" i="2"/>
  <c r="P13"/>
  <c r="Q16"/>
  <c r="S14"/>
  <c r="U12"/>
  <c r="W12"/>
  <c r="P77" i="1"/>
  <c r="X12" i="2"/>
  <c r="U86" i="1"/>
  <c r="AA14" i="2"/>
  <c r="U92" i="1"/>
  <c r="AC14" i="2"/>
  <c r="P26" i="1"/>
  <c r="G12" i="2"/>
  <c r="U26" i="1"/>
  <c r="G14" i="2"/>
  <c r="P29" i="1"/>
  <c r="H12" i="2"/>
  <c r="U29" i="1"/>
  <c r="H14" i="2"/>
  <c r="N12"/>
  <c r="BR15" i="1"/>
  <c r="V20"/>
  <c r="E15" i="2"/>
  <c r="BR27" i="1"/>
  <c r="BR39"/>
  <c r="BR51"/>
  <c r="U15" i="2"/>
  <c r="V86" i="1"/>
  <c r="AA15" i="2"/>
  <c r="V89" i="1"/>
  <c r="AB15" i="2"/>
  <c r="BR90" i="1"/>
  <c r="BR81"/>
  <c r="BR93"/>
  <c r="BR45"/>
  <c r="BR78"/>
  <c r="BR54"/>
  <c r="BR9"/>
  <c r="Z21" i="2"/>
  <c r="W21"/>
  <c r="B19"/>
  <c r="F23" i="3"/>
  <c r="M21" i="2"/>
  <c r="N18"/>
  <c r="T18"/>
  <c r="T23" i="1"/>
  <c r="F13" i="2"/>
  <c r="J13"/>
  <c r="V35" i="1"/>
  <c r="J15" i="2"/>
  <c r="V14"/>
  <c r="V15"/>
  <c r="E21"/>
  <c r="F18"/>
  <c r="G18"/>
  <c r="I21"/>
  <c r="V78" i="1"/>
  <c r="V80"/>
  <c r="Y15" i="2"/>
  <c r="AE12"/>
  <c r="O16"/>
  <c r="F20"/>
  <c r="H18"/>
  <c r="I18"/>
  <c r="P18"/>
  <c r="S18"/>
  <c r="U18"/>
  <c r="BD26" i="1"/>
  <c r="M13" i="2"/>
  <c r="J26"/>
  <c r="F31"/>
  <c r="F45" i="3"/>
  <c r="V57" i="1"/>
  <c r="V92"/>
  <c r="AC15" i="2"/>
  <c r="BR30" i="1"/>
  <c r="B21" i="2"/>
  <c r="P89" i="1"/>
  <c r="AB12" i="2"/>
  <c r="M32" i="3"/>
  <c r="E41"/>
  <c r="BH107" i="1"/>
  <c r="BH108"/>
  <c r="T38"/>
  <c r="K13" i="2"/>
  <c r="O13"/>
  <c r="T92" i="1"/>
  <c r="AC13" i="2"/>
  <c r="AH92" i="1"/>
  <c r="AC24" i="2" s="1"/>
  <c r="AZ20" i="1"/>
  <c r="E30" i="2" s="1"/>
  <c r="BD83" i="1"/>
  <c r="Z33" i="2"/>
  <c r="F35" i="3"/>
  <c r="BD17" i="1"/>
  <c r="D33" i="2"/>
  <c r="U33"/>
  <c r="V33"/>
  <c r="L41" i="3"/>
  <c r="L27"/>
  <c r="P86" i="1"/>
  <c r="AA12" i="2"/>
  <c r="Q12"/>
  <c r="P83" i="1"/>
  <c r="Z12" i="2"/>
  <c r="Y18"/>
  <c r="AC18"/>
  <c r="AD18"/>
  <c r="T29" i="1"/>
  <c r="H13" i="2"/>
  <c r="V58" i="1"/>
  <c r="T12" i="2"/>
  <c r="U80" i="1"/>
  <c r="Y14" i="2"/>
  <c r="W92" i="1"/>
  <c r="AC16" i="2"/>
  <c r="U95" i="1"/>
  <c r="AD14" i="2"/>
  <c r="BK107" i="1"/>
  <c r="BK108"/>
  <c r="BD23"/>
  <c r="F33" i="2"/>
  <c r="BD35" i="1"/>
  <c r="J33" i="2"/>
  <c r="BD92" i="1"/>
  <c r="AC33" i="2"/>
  <c r="L45" i="3"/>
  <c r="M33" i="2"/>
  <c r="BD29" i="1"/>
  <c r="H33" i="2" s="1"/>
  <c r="BR16" i="1"/>
  <c r="BR63"/>
  <c r="BR69"/>
  <c r="BR72"/>
  <c r="BR87"/>
  <c r="BR18"/>
  <c r="F27" i="2"/>
  <c r="M29" i="3"/>
  <c r="AB106" i="1"/>
  <c r="AE106"/>
  <c r="AA33" i="2"/>
  <c r="BR84" i="1"/>
  <c r="AF106"/>
  <c r="G10" i="4" s="1"/>
  <c r="T15" i="2"/>
  <c r="V9" i="1"/>
  <c r="Q15" i="2"/>
  <c r="V26" i="1"/>
  <c r="G15" i="2"/>
  <c r="V15" i="1"/>
  <c r="V41"/>
  <c r="L15" i="2"/>
  <c r="U11" i="1"/>
  <c r="B14" i="2"/>
  <c r="U17" i="1"/>
  <c r="D14" i="2"/>
  <c r="N29" i="1"/>
  <c r="H10" i="2" s="1"/>
  <c r="T32" i="1"/>
  <c r="I13" i="2"/>
  <c r="W32" i="1"/>
  <c r="I16" i="2"/>
  <c r="N15"/>
  <c r="P15"/>
  <c r="P16"/>
  <c r="R14"/>
  <c r="T86" i="1"/>
  <c r="AA13" i="2"/>
  <c r="W86" i="1"/>
  <c r="AA16" i="2"/>
  <c r="V95" i="1"/>
  <c r="AD15" i="2"/>
  <c r="BR75" i="1"/>
  <c r="V77"/>
  <c r="X15" i="2"/>
  <c r="O15"/>
  <c r="AH86" i="1"/>
  <c r="AA24" i="2" s="1"/>
  <c r="BE107" i="1"/>
  <c r="BE108" s="1"/>
  <c r="AX106"/>
  <c r="AX108"/>
  <c r="AX109" s="1"/>
  <c r="M53" i="3"/>
  <c r="X33" i="2"/>
  <c r="M41" i="1"/>
  <c r="L9" i="2" s="1"/>
  <c r="D24" i="3"/>
  <c r="N33" i="2"/>
  <c r="BR58" i="1"/>
  <c r="BD80"/>
  <c r="BR79"/>
  <c r="BR80" s="1"/>
  <c r="Y34" i="2" s="1"/>
  <c r="N14" i="3"/>
  <c r="AZ89" i="1"/>
  <c r="AB30" i="2" s="1"/>
  <c r="F26" i="3"/>
  <c r="F28" i="2"/>
  <c r="E32" i="3"/>
  <c r="D23"/>
  <c r="Y33" i="2"/>
  <c r="N30" i="3"/>
  <c r="N31" s="1"/>
  <c r="C52"/>
  <c r="M27"/>
  <c r="E36"/>
  <c r="D31" i="2"/>
  <c r="T33"/>
  <c r="AZ77" i="1"/>
  <c r="X30" i="2" s="1"/>
  <c r="AZ41" i="1"/>
  <c r="L30" i="2" s="1"/>
  <c r="L17" i="3"/>
  <c r="D32"/>
  <c r="O36" i="1"/>
  <c r="M32"/>
  <c r="I9" i="2" s="1"/>
  <c r="N33" i="3"/>
  <c r="AZ98" i="1"/>
  <c r="AE30" i="2" s="1"/>
  <c r="AG104" i="1"/>
  <c r="AI104"/>
  <c r="AV106"/>
  <c r="AV108" s="1"/>
  <c r="AV109" s="1"/>
  <c r="BB106"/>
  <c r="AF23" i="2"/>
  <c r="AF13"/>
  <c r="AF33"/>
  <c r="AF16"/>
  <c r="BP106" i="1"/>
  <c r="BN110"/>
  <c r="BN111"/>
  <c r="L53" i="3"/>
  <c r="AF27" i="2"/>
  <c r="AF14"/>
  <c r="AF10"/>
  <c r="AE15"/>
  <c r="L47" i="3"/>
  <c r="D7" i="2"/>
  <c r="Q33"/>
  <c r="D11" i="3"/>
  <c r="H29" i="1"/>
  <c r="H6" i="2" s="1"/>
  <c r="C14"/>
  <c r="R33"/>
  <c r="BP110" i="1"/>
  <c r="BP111"/>
  <c r="AU106"/>
  <c r="AU108" s="1"/>
  <c r="AU109" s="1"/>
  <c r="AT106"/>
  <c r="AT108" s="1"/>
  <c r="AT109" s="1"/>
  <c r="AW106"/>
  <c r="AW108" s="1"/>
  <c r="AW109" s="1"/>
  <c r="BN106"/>
  <c r="O78"/>
  <c r="AF30" i="2"/>
  <c r="AK83" i="1"/>
  <c r="Z27" i="2" s="1"/>
  <c r="AZ92" i="1"/>
  <c r="AC30" i="2" s="1"/>
  <c r="K19" i="3"/>
  <c r="L18"/>
  <c r="BR43" i="1"/>
  <c r="BR44" s="1"/>
  <c r="M34" i="2" s="1"/>
  <c r="U30"/>
  <c r="W14" i="1"/>
  <c r="C16" i="2"/>
  <c r="T20" i="1"/>
  <c r="E13" i="2"/>
  <c r="V23" i="1"/>
  <c r="F15" i="2"/>
  <c r="W26" i="1"/>
  <c r="G16" i="2"/>
  <c r="U32" i="1"/>
  <c r="I14" i="2"/>
  <c r="V32" i="1"/>
  <c r="I15" i="2"/>
  <c r="P38" i="1"/>
  <c r="K12" i="2"/>
  <c r="V36" i="1"/>
  <c r="U83"/>
  <c r="Z14" i="2"/>
  <c r="V83" i="1"/>
  <c r="Z15" i="2"/>
  <c r="W15"/>
  <c r="BC11" i="1"/>
  <c r="V14"/>
  <c r="C15" i="2"/>
  <c r="G77" i="1"/>
  <c r="X5" i="2" s="1"/>
  <c r="G86" i="1"/>
  <c r="AA5" i="2" s="1"/>
  <c r="G98" i="1"/>
  <c r="AE5" i="2" s="1"/>
  <c r="V29" i="1"/>
  <c r="H15" i="2"/>
  <c r="AC106" i="1"/>
  <c r="J10" i="2"/>
  <c r="AC9"/>
  <c r="E17" i="3"/>
  <c r="C12" i="2"/>
  <c r="O19" i="1"/>
  <c r="L15" i="3"/>
  <c r="O60" i="1"/>
  <c r="R5" i="2"/>
  <c r="O94" i="1"/>
  <c r="AI50"/>
  <c r="O25" i="2" s="1"/>
  <c r="M50" i="1"/>
  <c r="O9" i="2" s="1"/>
  <c r="J106" i="1"/>
  <c r="S106"/>
  <c r="BQ106"/>
  <c r="I106"/>
  <c r="AJ106"/>
  <c r="AL109" s="1"/>
  <c r="E12" i="2"/>
  <c r="M71" i="1"/>
  <c r="V9" i="2" s="1"/>
  <c r="AI62" i="1"/>
  <c r="S25" i="2" s="1"/>
  <c r="O72" i="1"/>
  <c r="G104"/>
  <c r="O96"/>
  <c r="AZ32"/>
  <c r="I30" i="2" s="1"/>
  <c r="AK11" i="1"/>
  <c r="B27" i="2" s="1"/>
  <c r="AI47" i="1"/>
  <c r="N25" i="2" s="1"/>
  <c r="M47" i="1"/>
  <c r="N9" i="2" s="1"/>
  <c r="V31"/>
  <c r="W31"/>
  <c r="H92" i="1"/>
  <c r="AC6" i="2" s="1"/>
  <c r="G90" i="1"/>
  <c r="G92" s="1"/>
  <c r="AC5" i="2" s="1"/>
  <c r="V10" i="1"/>
  <c r="V11"/>
  <c r="U38"/>
  <c r="K14" i="2"/>
  <c r="V37" i="1"/>
  <c r="V38"/>
  <c r="K15" i="2"/>
  <c r="AH56" i="1"/>
  <c r="Q24" i="2" s="1"/>
  <c r="AG59" i="1"/>
  <c r="R23" i="2" s="1"/>
  <c r="AG65" i="1"/>
  <c r="T23" i="2" s="1"/>
  <c r="AH65" i="1"/>
  <c r="T24" i="2" s="1"/>
  <c r="BR24" i="1"/>
  <c r="AZ26"/>
  <c r="G30" i="2"/>
  <c r="AB33"/>
  <c r="BR99" i="1"/>
  <c r="M62"/>
  <c r="S9" i="2" s="1"/>
  <c r="O63" i="1"/>
  <c r="O82"/>
  <c r="AG92"/>
  <c r="AC23" i="2" s="1"/>
  <c r="AS106" i="1"/>
  <c r="AS108" s="1"/>
  <c r="AS109" s="1"/>
  <c r="K33" i="2"/>
  <c r="BR60" i="1"/>
  <c r="BJ110"/>
  <c r="BJ111" s="1"/>
  <c r="BF107"/>
  <c r="V100"/>
  <c r="O99"/>
  <c r="V59"/>
  <c r="R15" i="2"/>
  <c r="BR48" i="1"/>
  <c r="BR57"/>
  <c r="BR59"/>
  <c r="R34" i="2" s="1"/>
  <c r="T59" i="1"/>
  <c r="S33" i="2"/>
  <c r="BM110" i="1"/>
  <c r="BM111" s="1"/>
  <c r="BQ110"/>
  <c r="BQ111"/>
  <c r="R13" i="2"/>
  <c r="BR10" i="1"/>
  <c r="BR11" s="1"/>
  <c r="B34" i="2" s="1"/>
  <c r="K40" i="3"/>
  <c r="E42"/>
  <c r="E43" s="1"/>
  <c r="M14" i="1"/>
  <c r="C9" i="2" s="1"/>
  <c r="M44" i="1"/>
  <c r="M9" i="2" s="1"/>
  <c r="AZ47" i="1"/>
  <c r="N30" i="2" s="1"/>
  <c r="R31"/>
  <c r="AZ104" i="1"/>
  <c r="M80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O66" i="1"/>
  <c r="Y106"/>
  <c r="BI106"/>
  <c r="R106"/>
  <c r="W38"/>
  <c r="BJ106"/>
  <c r="BM106"/>
  <c r="BO106"/>
  <c r="AZ11"/>
  <c r="B30" i="2" s="1"/>
  <c r="O100" i="1"/>
  <c r="V99"/>
  <c r="O46"/>
  <c r="O73"/>
  <c r="O27"/>
  <c r="O91"/>
  <c r="O67"/>
  <c r="BR36"/>
  <c r="BO110"/>
  <c r="BO111"/>
  <c r="AD33" i="2"/>
  <c r="BR25" i="1"/>
  <c r="BR26" s="1"/>
  <c r="G34" i="2" s="1"/>
  <c r="BD11" i="1"/>
  <c r="B33" i="2" s="1"/>
  <c r="BF110" i="1"/>
  <c r="BF111"/>
  <c r="BF108"/>
  <c r="AI92"/>
  <c r="AC25" i="2" s="1"/>
  <c r="L106" i="1"/>
  <c r="BK106"/>
  <c r="BI110"/>
  <c r="BI111" s="1"/>
  <c r="BE110"/>
  <c r="BE111"/>
  <c r="K16" i="2"/>
  <c r="N68" i="1"/>
  <c r="U10" i="2" s="1"/>
  <c r="C10" i="3"/>
  <c r="AK65" i="1"/>
  <c r="T27" i="2" s="1"/>
  <c r="N20" i="3"/>
  <c r="AK98" i="1"/>
  <c r="AE27" i="2" s="1"/>
  <c r="A71" i="4"/>
  <c r="AH11" i="1"/>
  <c r="B24" i="2" s="1"/>
  <c r="O9" i="1"/>
  <c r="AK20"/>
  <c r="E27" i="2" s="1"/>
  <c r="N20" i="1"/>
  <c r="E10" i="2"/>
  <c r="M20" i="1"/>
  <c r="E9" i="2"/>
  <c r="AZ38" i="1"/>
  <c r="K30" i="2" s="1"/>
  <c r="AI35" i="1"/>
  <c r="J25" i="2" s="1"/>
  <c r="N44" i="1"/>
  <c r="M10" i="2" s="1"/>
  <c r="M77" i="1"/>
  <c r="X9" i="2" s="1"/>
  <c r="N50" i="3"/>
  <c r="G33" i="2"/>
  <c r="AZ23" i="1"/>
  <c r="F30" i="2" s="1"/>
  <c r="M23" i="1"/>
  <c r="F9" i="2" s="1"/>
  <c r="AI68" i="1"/>
  <c r="U25" i="2" s="1"/>
  <c r="M65" i="1"/>
  <c r="T9" i="2" s="1"/>
  <c r="AK59" i="1"/>
  <c r="R27" i="2" s="1"/>
  <c r="N53" i="1"/>
  <c r="P10" i="2" s="1"/>
  <c r="B15"/>
  <c r="AG41" i="1"/>
  <c r="L23" i="2" s="1"/>
  <c r="AH71" i="1"/>
  <c r="V24" i="2" s="1"/>
  <c r="T80" i="1"/>
  <c r="W80"/>
  <c r="Y16" i="2"/>
  <c r="AG86" i="1"/>
  <c r="AA23" i="2" s="1"/>
  <c r="L33"/>
  <c r="E33"/>
  <c r="P33"/>
  <c r="O45" i="1"/>
  <c r="V61"/>
  <c r="V62"/>
  <c r="S15" i="2"/>
  <c r="T62" i="1"/>
  <c r="S13" i="2"/>
  <c r="O103" i="1"/>
  <c r="AF11" i="2"/>
  <c r="V103" i="1"/>
  <c r="AF15" i="2" s="1"/>
  <c r="U104" i="1"/>
  <c r="U106" s="1"/>
  <c r="AG98"/>
  <c r="AE23" i="2" s="1"/>
  <c r="V16" i="1"/>
  <c r="V17"/>
  <c r="D15" i="2"/>
  <c r="AG44" i="1"/>
  <c r="M23" i="2" s="1"/>
  <c r="O33" i="1"/>
  <c r="O48"/>
  <c r="O84"/>
  <c r="M98"/>
  <c r="AE9" i="2" s="1"/>
  <c r="N83" i="1"/>
  <c r="Z10" i="2" s="1"/>
  <c r="B16"/>
  <c r="W106" i="1"/>
  <c r="Y13" i="2"/>
  <c r="T106" i="1"/>
  <c r="O33" i="2"/>
  <c r="O20" i="1"/>
  <c r="E11" i="2" s="1"/>
  <c r="M89" i="1"/>
  <c r="AB9" i="2" s="1"/>
  <c r="AZ86" i="1"/>
  <c r="AA30" i="2" s="1"/>
  <c r="F27" i="3"/>
  <c r="E27"/>
  <c r="D26"/>
  <c r="AI23" i="1"/>
  <c r="F25" i="2" s="1"/>
  <c r="AK95" i="1"/>
  <c r="AD27" i="2" s="1"/>
  <c r="D41" i="3"/>
  <c r="AK56" i="1"/>
  <c r="Q27" i="2" s="1"/>
  <c r="AM102" i="1"/>
  <c r="AM104" s="1"/>
  <c r="O90"/>
  <c r="O92" s="1"/>
  <c r="AC11" i="2" s="1"/>
  <c r="O87" i="1"/>
  <c r="BL110"/>
  <c r="BL111"/>
  <c r="O68"/>
  <c r="U11" i="2" s="1"/>
  <c r="E45" i="3"/>
  <c r="F17"/>
  <c r="N17" i="1"/>
  <c r="D10" i="2"/>
  <c r="C13" i="3"/>
  <c r="AZ12" i="1"/>
  <c r="AO14"/>
  <c r="BR12"/>
  <c r="AZ14"/>
  <c r="C30" i="2" s="1"/>
  <c r="AG50" i="1"/>
  <c r="O23" i="2" s="1"/>
  <c r="D47" i="3"/>
  <c r="C49"/>
  <c r="AK44" i="1"/>
  <c r="M27" i="2" s="1"/>
  <c r="AZ71" i="1"/>
  <c r="V30" i="2" s="1"/>
  <c r="AN102" i="1"/>
  <c r="AK89"/>
  <c r="AB27" i="2" s="1"/>
  <c r="AZ44" i="1"/>
  <c r="M30" i="2" s="1"/>
  <c r="N48" i="3"/>
  <c r="N49" s="1"/>
  <c r="AK74" i="1"/>
  <c r="W27" i="2" s="1"/>
  <c r="F15" i="3"/>
  <c r="L21"/>
  <c r="AZ65" i="1"/>
  <c r="T30" i="2" s="1"/>
  <c r="BR64" i="1"/>
  <c r="BR65"/>
  <c r="T34" i="2" s="1"/>
  <c r="N65" i="1"/>
  <c r="T10" i="2" s="1"/>
  <c r="P25"/>
  <c r="AH53" i="1"/>
  <c r="P24" i="2" s="1"/>
  <c r="G50" i="1"/>
  <c r="O5" i="2" s="1"/>
  <c r="BA35" i="1"/>
  <c r="J31" i="2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 s="1"/>
  <c r="BH110" i="1"/>
  <c r="BH111" s="1"/>
  <c r="M68"/>
  <c r="U9" i="2" s="1"/>
  <c r="AK41" i="1"/>
  <c r="L27" i="2" s="1"/>
  <c r="AK53" i="1"/>
  <c r="P27" i="2" s="1"/>
  <c r="AK50" i="1"/>
  <c r="O27" i="2" s="1"/>
  <c r="AK47" i="1"/>
  <c r="N27" i="2" s="1"/>
  <c r="AK71" i="1"/>
  <c r="V27" i="2" s="1"/>
  <c r="AL71" i="1"/>
  <c r="P104"/>
  <c r="AM103"/>
  <c r="O102"/>
  <c r="O104"/>
  <c r="AL92"/>
  <c r="AK92"/>
  <c r="AC27" i="2" s="1"/>
  <c r="AN103" i="1"/>
  <c r="AF28" i="2"/>
  <c r="AM92" i="1"/>
  <c r="AC28" i="2" s="1"/>
  <c r="O97" i="1"/>
  <c r="O98" s="1"/>
  <c r="AE11" i="2" s="1"/>
  <c r="BR17" i="1"/>
  <c r="D34" i="2" s="1"/>
  <c r="AM71" i="1"/>
  <c r="V28" i="2" s="1"/>
  <c r="AG53" i="1"/>
  <c r="P23" i="2"/>
  <c r="E30" i="3"/>
  <c r="AR106" i="1"/>
  <c r="AR108" s="1"/>
  <c r="AR109" s="1"/>
  <c r="M30" i="3"/>
  <c r="M31" s="1"/>
  <c r="S5" i="2"/>
  <c r="O93" i="1"/>
  <c r="O95" s="1"/>
  <c r="AD11" i="2" s="1"/>
  <c r="AF34" l="1"/>
  <c r="BR104" i="1"/>
  <c r="V104"/>
  <c r="V106" s="1"/>
  <c r="AN99"/>
  <c r="AM111"/>
  <c r="AL104"/>
  <c r="AN104" s="1"/>
  <c r="D25" i="3"/>
  <c r="L26"/>
  <c r="D14"/>
  <c r="D29"/>
  <c r="E16"/>
  <c r="C31"/>
  <c r="D12"/>
  <c r="D13" s="1"/>
  <c r="K28"/>
  <c r="K46"/>
  <c r="N18"/>
  <c r="N24"/>
  <c r="D39"/>
  <c r="L44"/>
  <c r="L46" s="1"/>
  <c r="E29"/>
  <c r="N28"/>
  <c r="N32"/>
  <c r="N34" s="1"/>
  <c r="L39"/>
  <c r="N39"/>
  <c r="M83" i="1"/>
  <c r="Z9" i="2" s="1"/>
  <c r="L37" i="3"/>
  <c r="N15"/>
  <c r="K16"/>
  <c r="AH62" i="1"/>
  <c r="S24" i="2" s="1"/>
  <c r="G56" i="1"/>
  <c r="Q5" i="2" s="1"/>
  <c r="N50" i="1"/>
  <c r="O10" i="2" s="1"/>
  <c r="AZ29" i="1"/>
  <c r="H30" i="2" s="1"/>
  <c r="AK16" i="1"/>
  <c r="K37" i="3"/>
  <c r="N36"/>
  <c r="AG77" i="1"/>
  <c r="X23" i="2" s="1"/>
  <c r="AI77" i="1"/>
  <c r="X25" i="2" s="1"/>
  <c r="M24" i="3"/>
  <c r="C19"/>
  <c r="O70" i="1"/>
  <c r="H62"/>
  <c r="S6" i="2" s="1"/>
  <c r="G35" i="1"/>
  <c r="J5" i="2" s="1"/>
  <c r="O11" i="1"/>
  <c r="B11" i="2" s="1"/>
  <c r="N51" i="3"/>
  <c r="N52" s="1"/>
  <c r="M86" i="1"/>
  <c r="AA9" i="2" s="1"/>
  <c r="BR73" i="1"/>
  <c r="BR74" s="1"/>
  <c r="W34" i="2" s="1"/>
  <c r="K22" i="3"/>
  <c r="AZ50" i="1"/>
  <c r="O30" i="2" s="1"/>
  <c r="BG107" i="1"/>
  <c r="BG108" s="1"/>
  <c r="BR108" s="1"/>
  <c r="AK14"/>
  <c r="C27" i="2" s="1"/>
  <c r="BR83" i="1"/>
  <c r="Z34" i="2" s="1"/>
  <c r="AZ56" i="1"/>
  <c r="Q30" i="2" s="1"/>
  <c r="BR34" i="1"/>
  <c r="BR35" s="1"/>
  <c r="J34" i="2" s="1"/>
  <c r="AO106" i="1"/>
  <c r="AO108" s="1"/>
  <c r="AO109" s="1"/>
  <c r="AI95"/>
  <c r="AD25" i="2" s="1"/>
  <c r="AG74" i="1"/>
  <c r="W23" i="2" s="1"/>
  <c r="AI29" i="1"/>
  <c r="H25" i="2" s="1"/>
  <c r="O81" i="1"/>
  <c r="O71"/>
  <c r="V11" i="2" s="1"/>
  <c r="O58" i="1"/>
  <c r="O37"/>
  <c r="O28"/>
  <c r="D30" i="3"/>
  <c r="D31" s="1"/>
  <c r="F21"/>
  <c r="L48"/>
  <c r="L49" s="1"/>
  <c r="N16"/>
  <c r="C46"/>
  <c r="K13"/>
  <c r="C34"/>
  <c r="N8"/>
  <c r="L28"/>
  <c r="L54"/>
  <c r="N17"/>
  <c r="M23"/>
  <c r="M25" s="1"/>
  <c r="L11"/>
  <c r="K55"/>
  <c r="K34"/>
  <c r="M20"/>
  <c r="L51"/>
  <c r="L8"/>
  <c r="E21"/>
  <c r="D15"/>
  <c r="D16" s="1"/>
  <c r="N41"/>
  <c r="E12"/>
  <c r="E13" s="1"/>
  <c r="N54"/>
  <c r="N55" s="1"/>
  <c r="N44"/>
  <c r="AZ95" i="1"/>
  <c r="AD30" i="2" s="1"/>
  <c r="L55" i="3"/>
  <c r="AI98" i="1"/>
  <c r="AE25" i="2" s="1"/>
  <c r="AI44" i="1"/>
  <c r="M25" i="2" s="1"/>
  <c r="N92" i="1"/>
  <c r="AC10" i="2" s="1"/>
  <c r="AK86" i="1"/>
  <c r="AA27" i="2" s="1"/>
  <c r="H77" i="1"/>
  <c r="X6" i="2" s="1"/>
  <c r="O64" i="1"/>
  <c r="O65" s="1"/>
  <c r="T11" i="2" s="1"/>
  <c r="O51" i="1"/>
  <c r="O52"/>
  <c r="O53" s="1"/>
  <c r="P11" i="2" s="1"/>
  <c r="K106" i="1"/>
  <c r="AI41"/>
  <c r="L25" i="2" s="1"/>
  <c r="O39" i="1"/>
  <c r="O41" s="1"/>
  <c r="L11" i="2" s="1"/>
  <c r="N38" i="1"/>
  <c r="K10" i="2" s="1"/>
  <c r="O38" i="1"/>
  <c r="K11" i="2" s="1"/>
  <c r="AG32" i="1"/>
  <c r="I23" i="2" s="1"/>
  <c r="AI32" i="1"/>
  <c r="I25" i="2" s="1"/>
  <c r="O31" i="1"/>
  <c r="AH32"/>
  <c r="I24" i="2" s="1"/>
  <c r="AQ106" i="1"/>
  <c r="AQ108" s="1"/>
  <c r="AQ109" s="1"/>
  <c r="BR50"/>
  <c r="O34" i="2" s="1"/>
  <c r="K52" i="3"/>
  <c r="L50"/>
  <c r="L33"/>
  <c r="L34" s="1"/>
  <c r="D42"/>
  <c r="D43" s="1"/>
  <c r="E24"/>
  <c r="E25" s="1"/>
  <c r="O79" i="1"/>
  <c r="O80"/>
  <c r="Y11" i="2" s="1"/>
  <c r="H71" i="1"/>
  <c r="V6" i="2" s="1"/>
  <c r="AK68" i="1"/>
  <c r="G26"/>
  <c r="G5" i="2" s="1"/>
  <c r="M55" i="3"/>
  <c r="G89" i="1"/>
  <c r="AB5" i="2" s="1"/>
  <c r="O83" i="1"/>
  <c r="Z11" i="2" s="1"/>
  <c r="O76" i="1"/>
  <c r="BG110"/>
  <c r="BR110" s="1"/>
  <c r="G68"/>
  <c r="U5" i="2" s="1"/>
  <c r="H68" i="1"/>
  <c r="U6" i="2" s="1"/>
  <c r="L22" i="3"/>
  <c r="O61" i="1"/>
  <c r="O62" s="1"/>
  <c r="S11" i="2" s="1"/>
  <c r="H59" i="1"/>
  <c r="R6" i="2" s="1"/>
  <c r="O49" i="1"/>
  <c r="O50" s="1"/>
  <c r="O11" i="2" s="1"/>
  <c r="O43" i="1"/>
  <c r="AL44"/>
  <c r="G41"/>
  <c r="L5" i="2" s="1"/>
  <c r="AH38" i="1"/>
  <c r="K24" i="2" s="1"/>
  <c r="AI38" i="1"/>
  <c r="K25" i="2" s="1"/>
  <c r="AG29" i="1"/>
  <c r="H23" i="2" s="1"/>
  <c r="O25" i="1"/>
  <c r="O18"/>
  <c r="AG17"/>
  <c r="D23" i="2" s="1"/>
  <c r="O15" i="1"/>
  <c r="BR92"/>
  <c r="AC34" i="2" s="1"/>
  <c r="BR52" i="1"/>
  <c r="BR53" s="1"/>
  <c r="P34" i="2" s="1"/>
  <c r="AG89" i="1"/>
  <c r="AB23" i="2" s="1"/>
  <c r="L38" i="3"/>
  <c r="N38"/>
  <c r="N40" s="1"/>
  <c r="AG68" i="1"/>
  <c r="U23" i="2" s="1"/>
  <c r="E31" i="3"/>
  <c r="AK32" i="1"/>
  <c r="I27" i="2" s="1"/>
  <c r="N89" i="1"/>
  <c r="AB10" i="2" s="1"/>
  <c r="N86" i="1"/>
  <c r="AA10" i="2" s="1"/>
  <c r="H80" i="1"/>
  <c r="Y6" i="2" s="1"/>
  <c r="O75" i="1"/>
  <c r="AM65"/>
  <c r="AL65"/>
  <c r="O55"/>
  <c r="H53"/>
  <c r="P6" i="2" s="1"/>
  <c r="N47" i="1"/>
  <c r="N10" i="2" s="1"/>
  <c r="O47" i="1"/>
  <c r="N11" i="2" s="1"/>
  <c r="AK38" i="1"/>
  <c r="K27" i="2" s="1"/>
  <c r="O24" i="1"/>
  <c r="N26"/>
  <c r="G10" i="2" s="1"/>
  <c r="O29" i="1"/>
  <c r="H11" i="2" s="1"/>
  <c r="O21" i="1"/>
  <c r="O22"/>
  <c r="O12"/>
  <c r="M22" i="3"/>
  <c r="L52"/>
  <c r="AF36" i="2"/>
  <c r="M13" i="3"/>
  <c r="M34"/>
  <c r="D9"/>
  <c r="AK29" i="1"/>
  <c r="H27" i="2" s="1"/>
  <c r="F28" i="3"/>
  <c r="AN92" i="1"/>
  <c r="AC36" i="2"/>
  <c r="O88" i="1"/>
  <c r="M40" i="3"/>
  <c r="O85" i="1"/>
  <c r="O86" s="1"/>
  <c r="AA11" i="2" s="1"/>
  <c r="M43" i="3"/>
  <c r="O89" i="1"/>
  <c r="AB11" i="2" s="1"/>
  <c r="BK110" i="1"/>
  <c r="BK111" s="1"/>
  <c r="AK77"/>
  <c r="X27" i="2" s="1"/>
  <c r="AN71" i="1"/>
  <c r="AH68"/>
  <c r="U24" i="2" s="1"/>
  <c r="AL68" i="1"/>
  <c r="N19" i="3"/>
  <c r="M19"/>
  <c r="O59" i="1"/>
  <c r="R11" i="2" s="1"/>
  <c r="P30"/>
  <c r="G53" i="1"/>
  <c r="P5" i="2" s="1"/>
  <c r="E49" i="3"/>
  <c r="AL50" i="1"/>
  <c r="D49" i="3"/>
  <c r="O42" i="1"/>
  <c r="O34"/>
  <c r="O35" s="1"/>
  <c r="J11" i="2" s="1"/>
  <c r="AL35" i="1"/>
  <c r="O30"/>
  <c r="AL29"/>
  <c r="E28" i="3"/>
  <c r="D28"/>
  <c r="C25"/>
  <c r="F25"/>
  <c r="O16" i="1"/>
  <c r="D106"/>
  <c r="O13"/>
  <c r="AP106"/>
  <c r="AP108" s="1"/>
  <c r="AP109" s="1"/>
  <c r="AL11"/>
  <c r="F10" i="3"/>
  <c r="BD106" i="1"/>
  <c r="C108" s="1"/>
  <c r="W33" i="2"/>
  <c r="BG106" i="1"/>
  <c r="BA106"/>
  <c r="C110" s="1"/>
  <c r="BR20"/>
  <c r="E34" i="2" s="1"/>
  <c r="M52" i="3"/>
  <c r="AL86" i="1"/>
  <c r="AL83"/>
  <c r="AL80"/>
  <c r="K31" i="3"/>
  <c r="AL74" i="1"/>
  <c r="M28" i="3"/>
  <c r="L19"/>
  <c r="L16"/>
  <c r="M14"/>
  <c r="M16" s="1"/>
  <c r="N10"/>
  <c r="M9"/>
  <c r="M10" s="1"/>
  <c r="E46"/>
  <c r="F43"/>
  <c r="E37"/>
  <c r="F37"/>
  <c r="F31"/>
  <c r="F24" i="2"/>
  <c r="E22" i="3"/>
  <c r="F19"/>
  <c r="G108" i="4"/>
  <c r="G44"/>
  <c r="G76"/>
  <c r="C23" i="2"/>
  <c r="C25"/>
  <c r="AL98" i="1"/>
  <c r="AL95"/>
  <c r="AL89"/>
  <c r="AN79"/>
  <c r="AL77"/>
  <c r="C106"/>
  <c r="G8" i="4" s="1"/>
  <c r="G74" s="1"/>
  <c r="AL62" i="1"/>
  <c r="M59"/>
  <c r="R9" i="2" s="1"/>
  <c r="AL59" i="1"/>
  <c r="O54"/>
  <c r="AM55"/>
  <c r="AL56"/>
  <c r="M53"/>
  <c r="P9" i="2" s="1"/>
  <c r="AL53" i="1"/>
  <c r="AL47"/>
  <c r="AL41"/>
  <c r="AL38"/>
  <c r="AM35"/>
  <c r="AL32"/>
  <c r="AL26"/>
  <c r="G6" i="2"/>
  <c r="E106" i="1"/>
  <c r="AK26"/>
  <c r="AL20"/>
  <c r="D9" i="2"/>
  <c r="O17" i="1"/>
  <c r="D11" i="2" s="1"/>
  <c r="O14" i="1"/>
  <c r="C11" i="2" s="1"/>
  <c r="C10"/>
  <c r="C5"/>
  <c r="AL14" i="1"/>
  <c r="D2" i="2"/>
  <c r="A18" i="1"/>
  <c r="F34" i="3"/>
  <c r="F40"/>
  <c r="M46"/>
  <c r="F20"/>
  <c r="F22" s="1"/>
  <c r="C16"/>
  <c r="M47"/>
  <c r="M49" s="1"/>
  <c r="F51"/>
  <c r="N11"/>
  <c r="C43"/>
  <c r="C28"/>
  <c r="D20"/>
  <c r="D22" s="1"/>
  <c r="E33"/>
  <c r="E34" s="1"/>
  <c r="A39" i="4"/>
  <c r="D33" i="3"/>
  <c r="D34" s="1"/>
  <c r="K10"/>
  <c r="N21"/>
  <c r="N22" s="1"/>
  <c r="C40"/>
  <c r="E38"/>
  <c r="C22"/>
  <c r="D18"/>
  <c r="D19" s="1"/>
  <c r="E18"/>
  <c r="E19" s="1"/>
  <c r="L42"/>
  <c r="L43" s="1"/>
  <c r="D44"/>
  <c r="D46" s="1"/>
  <c r="D8"/>
  <c r="D10" s="1"/>
  <c r="E8"/>
  <c r="F50"/>
  <c r="E39"/>
  <c r="K43"/>
  <c r="D50"/>
  <c r="D52" s="1"/>
  <c r="K49"/>
  <c r="L12"/>
  <c r="L13" s="1"/>
  <c r="C37"/>
  <c r="N12"/>
  <c r="N42"/>
  <c r="F44"/>
  <c r="F46" s="1"/>
  <c r="D38"/>
  <c r="D40" s="1"/>
  <c r="K25"/>
  <c r="M35"/>
  <c r="M37" s="1"/>
  <c r="N35"/>
  <c r="N37" s="1"/>
  <c r="N45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L40" l="1"/>
  <c r="L57" s="1"/>
  <c r="N59" s="1"/>
  <c r="BG111" i="1"/>
  <c r="BR111" s="1"/>
  <c r="O26"/>
  <c r="G11" i="2" s="1"/>
  <c r="AL16" i="1"/>
  <c r="AK17"/>
  <c r="D27" i="2" s="1"/>
  <c r="BR107" i="1"/>
  <c r="N43" i="3"/>
  <c r="AZ106" i="1"/>
  <c r="C107" s="1"/>
  <c r="C111" s="1"/>
  <c r="O77"/>
  <c r="X11" i="2" s="1"/>
  <c r="V36"/>
  <c r="U27"/>
  <c r="AK106" i="1"/>
  <c r="O56"/>
  <c r="Q11" i="2" s="1"/>
  <c r="N46" i="3"/>
  <c r="O44" i="1"/>
  <c r="M11" i="2" s="1"/>
  <c r="AM80" i="1"/>
  <c r="AN80" s="1"/>
  <c r="AI106"/>
  <c r="O32"/>
  <c r="I11" i="2" s="1"/>
  <c r="BR106" i="1"/>
  <c r="N13" i="3"/>
  <c r="AG106" i="1"/>
  <c r="AN65"/>
  <c r="M106"/>
  <c r="AM44"/>
  <c r="AN44" s="1"/>
  <c r="N106"/>
  <c r="O23"/>
  <c r="F11" i="2" s="1"/>
  <c r="F36" s="1"/>
  <c r="AH106" i="1"/>
  <c r="T28" i="2"/>
  <c r="T36" s="1"/>
  <c r="H106" i="1"/>
  <c r="AM68"/>
  <c r="AN68" s="1"/>
  <c r="F52" i="3"/>
  <c r="F54" s="1"/>
  <c r="F66" s="1"/>
  <c r="G106" i="1"/>
  <c r="AM50"/>
  <c r="AM29"/>
  <c r="AM11"/>
  <c r="B28" i="2" s="1"/>
  <c r="B36" s="1"/>
  <c r="AN11" i="1"/>
  <c r="G42" i="4"/>
  <c r="AM86" i="1"/>
  <c r="AM83"/>
  <c r="AM74"/>
  <c r="M57" i="3"/>
  <c r="N66" s="1"/>
  <c r="E40"/>
  <c r="C54"/>
  <c r="AM98" i="1"/>
  <c r="AM95"/>
  <c r="AM89"/>
  <c r="G106" i="4"/>
  <c r="AM77" i="1"/>
  <c r="AM62"/>
  <c r="AM59"/>
  <c r="AM56"/>
  <c r="AN55"/>
  <c r="AM53"/>
  <c r="AM47"/>
  <c r="AM41"/>
  <c r="AM38"/>
  <c r="J28" i="2"/>
  <c r="J36" s="1"/>
  <c r="AN35" i="1"/>
  <c r="AM32"/>
  <c r="G27" i="2"/>
  <c r="AM26" i="1"/>
  <c r="AM20"/>
  <c r="AM14"/>
  <c r="A21"/>
  <c r="E2" i="2"/>
  <c r="E10" i="3"/>
  <c r="D37"/>
  <c r="D54" s="1"/>
  <c r="F56" s="1"/>
  <c r="K57"/>
  <c r="N57" l="1"/>
  <c r="N63" s="1"/>
  <c r="Y28" i="2"/>
  <c r="Y36" s="1"/>
  <c r="AM16" i="1"/>
  <c r="AL17"/>
  <c r="AL108" s="1"/>
  <c r="AL110" s="1"/>
  <c r="O106"/>
  <c r="M28" i="2"/>
  <c r="M36" s="1"/>
  <c r="U28"/>
  <c r="U36" s="1"/>
  <c r="E54" i="3"/>
  <c r="F63" s="1"/>
  <c r="O28" i="2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C28" i="2"/>
  <c r="C36" s="1"/>
  <c r="AN14" i="1"/>
  <c r="F2" i="2"/>
  <c r="A24" i="1"/>
  <c r="N69" i="3"/>
  <c r="AN16" i="1" l="1"/>
  <c r="AM17"/>
  <c r="F68" i="3"/>
  <c r="G68" s="1"/>
  <c r="G2" i="2"/>
  <c r="A27" i="1"/>
  <c r="N64" i="3"/>
  <c r="N71"/>
  <c r="AN17" i="1" l="1"/>
  <c r="AN106" s="1"/>
  <c r="G12" i="4"/>
  <c r="D28" i="2"/>
  <c r="D36" s="1"/>
  <c r="H2"/>
  <c r="A30" i="1"/>
  <c r="G78" i="4" l="1"/>
  <c r="G80" s="1"/>
  <c r="G14"/>
  <c r="G17" s="1"/>
  <c r="G110"/>
  <c r="G46"/>
  <c r="G48" s="1"/>
  <c r="G51" s="1"/>
  <c r="I2" i="2"/>
  <c r="A33" i="1"/>
  <c r="G83" i="4" l="1"/>
  <c r="G112"/>
  <c r="G115" s="1"/>
  <c r="G55"/>
  <c r="G53"/>
  <c r="G19"/>
  <c r="G21"/>
  <c r="J2" i="2"/>
  <c r="A36" i="1"/>
  <c r="G23" i="4" l="1"/>
  <c r="G87"/>
  <c r="G85"/>
  <c r="G119"/>
  <c r="G117"/>
  <c r="G57"/>
  <c r="K2" i="2"/>
  <c r="A39" i="1"/>
  <c r="G121" i="4" l="1"/>
  <c r="G89"/>
  <c r="A42" i="1"/>
  <c r="L2" i="2"/>
  <c r="A45" i="1" l="1"/>
  <c r="M2" i="2"/>
  <c r="A48" i="1" l="1"/>
  <c r="N2" i="2"/>
  <c r="A51" i="1" l="1"/>
  <c r="O2" i="2"/>
  <c r="A54" i="1" l="1"/>
  <c r="P2" i="2"/>
  <c r="A57" i="1" l="1"/>
  <c r="Q2" i="2"/>
  <c r="A60" i="1" l="1"/>
  <c r="R2" i="2"/>
  <c r="S2" l="1"/>
  <c r="A63" i="1"/>
  <c r="T2" i="2" l="1"/>
  <c r="A66" i="1"/>
  <c r="U2" i="2" l="1"/>
  <c r="A69" i="1"/>
  <c r="V2" i="2" l="1"/>
  <c r="A72" i="1"/>
  <c r="A75" l="1"/>
  <c r="W2" i="2"/>
  <c r="A78" i="1" l="1"/>
  <c r="X2" i="2"/>
  <c r="A81" i="1" l="1"/>
  <c r="Y2" i="2"/>
  <c r="A84" i="1" l="1"/>
  <c r="Z2" i="2"/>
  <c r="AA2" l="1"/>
  <c r="A87" i="1"/>
  <c r="A90" l="1"/>
  <c r="AB2" i="2"/>
  <c r="AC2" l="1"/>
  <c r="A93" i="1"/>
  <c r="AD2" i="2" l="1"/>
  <c r="A96" i="1"/>
  <c r="AE2" i="2" l="1"/>
  <c r="AF2"/>
  <c r="A102" i="1"/>
</calcChain>
</file>

<file path=xl/sharedStrings.xml><?xml version="1.0" encoding="utf-8"?>
<sst xmlns="http://schemas.openxmlformats.org/spreadsheetml/2006/main" count="450" uniqueCount="159">
  <si>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</si>
  <si>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</si>
  <si>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</si>
  <si>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</si>
  <si>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</si>
  <si>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</si>
  <si>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</si>
  <si>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</si>
  <si>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</si>
  <si>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</si>
  <si>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</si>
  <si>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</si>
  <si>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</si>
  <si>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</si>
  <si>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</si>
  <si>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</si>
  <si>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</si>
  <si>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</si>
  <si>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</si>
  <si>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</si>
  <si>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</si>
  <si>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</si>
  <si>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</si>
  <si>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</si>
  <si>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</si>
  <si>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</si>
  <si>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</si>
  <si>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</si>
  <si>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</si>
  <si>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</si>
  <si>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</si>
  <si>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</si>
  <si>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</si>
  <si>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</si>
  <si>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</si>
  <si>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</si>
  <si>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</si>
  <si>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</si>
  <si>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</si>
  <si>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</si>
  <si>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</si>
  <si>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</si>
  <si>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</si>
  <si>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</si>
  <si>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</si>
  <si>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</si>
  <si>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</si>
  <si>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</si>
  <si>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</si>
  <si>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</si>
  <si>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</si>
  <si>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</si>
  <si>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</si>
  <si>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</si>
  <si>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</si>
  <si>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</si>
  <si>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</si>
  <si>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</si>
  <si>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</si>
  <si>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</si>
  <si>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</si>
  <si>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</si>
  <si>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</si>
  <si>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</si>
  <si>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</si>
  <si>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</si>
  <si>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</si>
  <si>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</si>
  <si>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</si>
  <si>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</si>
  <si>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</si>
  <si>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</si>
  <si>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</si>
  <si>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</si>
  <si>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</si>
  <si>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</si>
  <si>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</si>
  <si>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</si>
  <si>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</si>
  <si>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</si>
  <si>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</si>
  <si>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</si>
  <si>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</si>
  <si>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</si>
  <si>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</si>
  <si>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</si>
  <si>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</si>
  <si>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</si>
  <si>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</si>
  <si>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</si>
  <si>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</si>
  <si>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</si>
  <si>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</si>
  <si>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</si>
  <si>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</si>
  <si>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</si>
  <si>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</si>
  <si>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</si>
  <si>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</si>
  <si>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</si>
  <si>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</si>
  <si>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</si>
  <si>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</si>
  <si>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</si>
  <si>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</si>
  <si>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</si>
  <si>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</si>
  <si>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</si>
  <si>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</si>
  <si>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</si>
  <si>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</si>
  <si>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</si>
  <si>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</si>
  <si>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</si>
  <si>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</si>
  <si>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</si>
  <si>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</si>
  <si>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</si>
  <si>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</si>
  <si>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</si>
  <si>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Toshco Inc</t>
  </si>
  <si>
    <t>VAN DOUGH</t>
  </si>
  <si>
    <t>QUANTITY</t>
  </si>
  <si>
    <t>COOKIES</t>
  </si>
  <si>
    <t>Oreo cream Cheese  Cookie</t>
  </si>
  <si>
    <t>Chocolate Chip</t>
  </si>
  <si>
    <t>Double Chocolate Chip</t>
  </si>
  <si>
    <t>Belgian White Chocolate - Cranberry</t>
  </si>
  <si>
    <t>Banana Walnut Chocolate Chip</t>
  </si>
  <si>
    <t>Lace Chocolate Cookie</t>
  </si>
  <si>
    <t>Chocolate Kiss</t>
  </si>
  <si>
    <t>Glutenfree Double Double Chocolate Chip</t>
  </si>
  <si>
    <t>Bacon Maple Chocolate Chip</t>
  </si>
  <si>
    <t>Carrot Cake Cookie Sandwich</t>
  </si>
  <si>
    <t>Peanut Butter Cookie Sandwich</t>
  </si>
  <si>
    <t>COOKIE BARS</t>
  </si>
  <si>
    <t>Decadent Salted Caramel-Chocolate Bar</t>
  </si>
  <si>
    <t>Choco-Caramel Oatmel Bar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</si>
  <si>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</si>
  <si>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</si>
  <si>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</si>
  <si>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</si>
  <si>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</si>
  <si>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</si>
  <si>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</si>
  <si>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</si>
  <si>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</si>
  <si>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FOR THE MONTH ENDED November 2015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</si>
  <si>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</si>
  <si>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</si>
  <si>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</si>
  <si>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</si>
  <si>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</si>
  <si>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</si>
  <si>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SUNDAY</t>
  </si>
  <si>
    <t>FOR THE MONTH ENDED  JULY  2018</t>
  </si>
  <si>
    <t>SATURDAY</t>
  </si>
  <si>
    <t>SUNDAY OFF</t>
  </si>
  <si>
    <t>PICASSO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</si>
</sst>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1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1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1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1" fillId="0" borderId="0" xfId="0" applyNumberFormat="1" applyFont="1"/>
    <xf numFmtId="43" fontId="11" fillId="0" borderId="0" xfId="0" applyNumberFormat="1" applyFont="1"/>
    <xf numFmtId="43" fontId="11" fillId="0" borderId="0" xfId="4" applyNumberFormat="1" applyFont="1"/>
    <xf numFmtId="10" fontId="11" fillId="0" borderId="0" xfId="4" applyNumberFormat="1" applyFont="1"/>
    <xf numFmtId="43" fontId="11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2" fillId="0" borderId="0" xfId="0" applyNumberFormat="1" applyFont="1"/>
    <xf numFmtId="43" fontId="10" fillId="0" borderId="0" xfId="1" applyFont="1"/>
    <xf numFmtId="14" fontId="3" fillId="3" borderId="0" xfId="1" applyNumberFormat="1" applyFont="1" applyFill="1" applyBorder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1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4" fontId="3" fillId="3" borderId="0" xfId="1" applyNumberFormat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5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1"/>
  <sheetViews>
    <sheetView zoomScale="120" zoomScaleNormal="120" workbookViewId="0">
      <pane xSplit="3" ySplit="7" topLeftCell="AJ8" activePane="bottomRight" state="frozen"/>
      <selection pane="topRight" activeCell="D1" sqref="D1"/>
      <selection pane="bottomLeft" activeCell="A8" sqref="A8"/>
      <selection pane="bottomRight" activeCell="AU13" sqref="AU13"/>
    </sheetView>
  </sheetViews>
  <sheetFormatPr defaultColWidth="9.109375" defaultRowHeight="14.4"/>
  <cols>
    <col min="1" max="1" width="13" style="136" customWidth="1"/>
    <col min="2" max="2" width="5.33203125" style="136" hidden="1" customWidth="1"/>
    <col min="3" max="3" width="21" style="136" customWidth="1"/>
    <col min="4" max="29" width="10.6640625" style="136" customWidth="1"/>
    <col min="30" max="30" width="12.109375" style="136" customWidth="1"/>
    <col min="31" max="31" width="19.33203125" style="136" customWidth="1"/>
    <col min="32" max="38" width="10.6640625" style="136" customWidth="1"/>
    <col min="39" max="39" width="11.44140625" style="136" customWidth="1"/>
    <col min="40" max="40" width="15.33203125" style="136" customWidth="1"/>
    <col min="41" max="41" width="10.6640625" style="136" customWidth="1"/>
    <col min="42" max="42" width="12" style="136" customWidth="1"/>
    <col min="43" max="57" width="10.6640625" style="136" customWidth="1"/>
    <col min="58" max="58" width="10.6640625" style="136" hidden="1" customWidth="1"/>
    <col min="59" max="59" width="10.6640625" style="136" customWidth="1"/>
    <col min="60" max="60" width="13" style="136" customWidth="1"/>
    <col min="61" max="70" width="10.6640625" style="136" customWidth="1"/>
    <col min="71" max="72" width="9.109375" style="136"/>
    <col min="73" max="125" width="12.6640625" style="4" customWidth="1"/>
    <col min="126" max="16384" width="9.109375" style="136"/>
  </cols>
  <sheetData>
    <row r="1" spans="1:1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1.6">
      <c r="A4" s="9" t="s">
        <v>155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2.2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16.5" customHeight="1" thickTop="1" thickBot="1">
      <c r="A6" s="204" t="s">
        <v>2</v>
      </c>
      <c r="B6" s="197" t="s">
        <v>3</v>
      </c>
      <c r="C6" s="200" t="s">
        <v>4</v>
      </c>
      <c r="D6" s="202" t="s">
        <v>5</v>
      </c>
      <c r="E6" s="202" t="s">
        <v>6</v>
      </c>
      <c r="F6" s="202" t="s">
        <v>7</v>
      </c>
      <c r="G6" s="200" t="s">
        <v>8</v>
      </c>
      <c r="H6" s="200" t="s">
        <v>9</v>
      </c>
      <c r="I6" s="202" t="s">
        <v>10</v>
      </c>
      <c r="J6" s="202" t="s">
        <v>11</v>
      </c>
      <c r="K6" s="202" t="s">
        <v>12</v>
      </c>
      <c r="L6" s="202" t="s">
        <v>13</v>
      </c>
      <c r="M6" s="197" t="s">
        <v>14</v>
      </c>
      <c r="N6" s="197" t="s">
        <v>15</v>
      </c>
      <c r="O6" s="197" t="s">
        <v>16</v>
      </c>
      <c r="P6" s="197" t="s">
        <v>17</v>
      </c>
      <c r="Q6" s="202" t="s">
        <v>46</v>
      </c>
      <c r="R6" s="202" t="s">
        <v>18</v>
      </c>
      <c r="S6" s="202" t="s">
        <v>19</v>
      </c>
      <c r="T6" s="197" t="s">
        <v>20</v>
      </c>
      <c r="U6" s="197" t="s">
        <v>21</v>
      </c>
      <c r="V6" s="197" t="s">
        <v>22</v>
      </c>
      <c r="W6" s="197" t="s">
        <v>47</v>
      </c>
      <c r="X6" s="202" t="s">
        <v>46</v>
      </c>
      <c r="Y6" s="64"/>
      <c r="Z6" s="202" t="s">
        <v>23</v>
      </c>
      <c r="AA6" s="214" t="s">
        <v>24</v>
      </c>
      <c r="AB6" s="202" t="s">
        <v>25</v>
      </c>
      <c r="AC6" s="202" t="s">
        <v>26</v>
      </c>
      <c r="AD6" s="219" t="s">
        <v>95</v>
      </c>
      <c r="AE6" s="220"/>
      <c r="AF6" s="221" t="s">
        <v>28</v>
      </c>
      <c r="AG6" s="207" t="s">
        <v>29</v>
      </c>
      <c r="AH6" s="216"/>
      <c r="AI6" s="200" t="s">
        <v>30</v>
      </c>
      <c r="AJ6" s="64"/>
      <c r="AK6" s="200" t="s">
        <v>31</v>
      </c>
      <c r="AL6" s="200" t="s">
        <v>32</v>
      </c>
      <c r="AM6" s="222" t="s">
        <v>33</v>
      </c>
      <c r="AN6" s="217" t="s">
        <v>103</v>
      </c>
      <c r="AO6" s="17"/>
      <c r="AP6" s="209" t="s">
        <v>63</v>
      </c>
      <c r="AQ6" s="209" t="s">
        <v>64</v>
      </c>
      <c r="AR6" s="209" t="s">
        <v>111</v>
      </c>
      <c r="AS6" s="209" t="s">
        <v>65</v>
      </c>
      <c r="AT6" s="209" t="s">
        <v>98</v>
      </c>
      <c r="AU6" s="209" t="s">
        <v>119</v>
      </c>
      <c r="AV6" s="209" t="s">
        <v>113</v>
      </c>
      <c r="AW6" s="209" t="s">
        <v>114</v>
      </c>
      <c r="AX6" s="209" t="s">
        <v>115</v>
      </c>
      <c r="AY6" s="66"/>
      <c r="AZ6" s="68"/>
      <c r="BA6" s="211" t="s">
        <v>34</v>
      </c>
      <c r="BB6" s="70"/>
      <c r="BC6" s="200" t="s">
        <v>25</v>
      </c>
      <c r="BD6" s="200" t="s">
        <v>35</v>
      </c>
      <c r="BE6" s="209" t="s">
        <v>153</v>
      </c>
      <c r="BF6" s="209" t="s">
        <v>143</v>
      </c>
      <c r="BG6" s="209" t="s">
        <v>112</v>
      </c>
      <c r="BH6" s="209" t="s">
        <v>146</v>
      </c>
      <c r="BI6" s="209" t="s">
        <v>150</v>
      </c>
      <c r="BJ6" s="209" t="s">
        <v>151</v>
      </c>
      <c r="BK6" s="209" t="s">
        <v>152</v>
      </c>
      <c r="BL6" s="209" t="s">
        <v>145</v>
      </c>
      <c r="BM6" s="209" t="s">
        <v>116</v>
      </c>
      <c r="BN6" s="209" t="s">
        <v>118</v>
      </c>
      <c r="BO6" s="18"/>
      <c r="BP6" s="18"/>
      <c r="BQ6" s="18"/>
      <c r="BR6" s="207" t="s">
        <v>36</v>
      </c>
    </row>
    <row r="7" spans="1:125" ht="31.8" thickTop="1" thickBot="1">
      <c r="A7" s="205"/>
      <c r="B7" s="198"/>
      <c r="C7" s="201"/>
      <c r="D7" s="206"/>
      <c r="E7" s="206"/>
      <c r="F7" s="203"/>
      <c r="G7" s="201"/>
      <c r="H7" s="201"/>
      <c r="I7" s="203"/>
      <c r="J7" s="203"/>
      <c r="K7" s="206"/>
      <c r="L7" s="203"/>
      <c r="M7" s="198"/>
      <c r="N7" s="198"/>
      <c r="O7" s="198"/>
      <c r="P7" s="198"/>
      <c r="Q7" s="203"/>
      <c r="R7" s="206"/>
      <c r="S7" s="203"/>
      <c r="T7" s="198"/>
      <c r="U7" s="198"/>
      <c r="V7" s="198"/>
      <c r="W7" s="198"/>
      <c r="X7" s="203"/>
      <c r="Y7" s="19" t="s">
        <v>37</v>
      </c>
      <c r="Z7" s="206"/>
      <c r="AA7" s="215"/>
      <c r="AB7" s="206"/>
      <c r="AC7" s="206"/>
      <c r="AD7" s="118" t="s">
        <v>96</v>
      </c>
      <c r="AE7" s="119" t="s">
        <v>97</v>
      </c>
      <c r="AF7" s="206"/>
      <c r="AG7" s="20" t="s">
        <v>38</v>
      </c>
      <c r="AH7" s="20" t="s">
        <v>39</v>
      </c>
      <c r="AI7" s="213"/>
      <c r="AJ7" s="65" t="s">
        <v>40</v>
      </c>
      <c r="AK7" s="201"/>
      <c r="AL7" s="201"/>
      <c r="AM7" s="223"/>
      <c r="AN7" s="218"/>
      <c r="AO7" s="21" t="s">
        <v>66</v>
      </c>
      <c r="AP7" s="210"/>
      <c r="AQ7" s="210"/>
      <c r="AR7" s="210"/>
      <c r="AS7" s="210"/>
      <c r="AT7" s="210"/>
      <c r="AU7" s="210"/>
      <c r="AV7" s="210"/>
      <c r="AW7" s="210"/>
      <c r="AX7" s="210"/>
      <c r="AY7" s="67"/>
      <c r="AZ7" s="69" t="s">
        <v>41</v>
      </c>
      <c r="BA7" s="212"/>
      <c r="BB7" s="71" t="s">
        <v>42</v>
      </c>
      <c r="BC7" s="213"/>
      <c r="BD7" s="213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2"/>
      <c r="BP7" s="22"/>
      <c r="BQ7" s="22"/>
      <c r="BR7" s="208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192">
        <v>43282</v>
      </c>
      <c r="B9" s="32" t="s">
        <v>43</v>
      </c>
      <c r="C9" s="33"/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f t="shared" ref="AK9" si="0">(C9-AF9-AJ9)/1.12</f>
        <v>0</v>
      </c>
      <c r="AL9" s="33">
        <f t="shared" ref="AL9" si="1">AK9-SUM(Y9:AC9)</f>
        <v>0</v>
      </c>
      <c r="AM9" s="33">
        <f t="shared" ref="AM9" si="2">+AL9*0.12</f>
        <v>0</v>
      </c>
      <c r="AN9" s="33">
        <f t="shared" ref="AN9" si="3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" thickBot="1">
      <c r="A10" s="199"/>
      <c r="B10" s="15" t="s">
        <v>44</v>
      </c>
      <c r="C10" s="33" t="s">
        <v>154</v>
      </c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v>0</v>
      </c>
      <c r="AL10" s="33">
        <f t="shared" ref="AL10" si="4">AK10-SUM(Y10:AC10)</f>
        <v>0</v>
      </c>
      <c r="AM10" s="33">
        <f t="shared" ref="AM10" si="5">+AL10*0.12</f>
        <v>0</v>
      </c>
      <c r="AN10" s="33">
        <f t="shared" ref="AN10" si="6">+AM10+AL10+AJ10</f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6" customFormat="1" ht="15" thickBot="1">
      <c r="A11" s="160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7">SUBTOTAL(9,G9:G10)</f>
        <v>0</v>
      </c>
      <c r="H11" s="45">
        <f t="shared" si="7"/>
        <v>0</v>
      </c>
      <c r="I11" s="45">
        <f t="shared" si="7"/>
        <v>0</v>
      </c>
      <c r="J11" s="45">
        <f t="shared" si="7"/>
        <v>0</v>
      </c>
      <c r="K11" s="162">
        <f t="shared" si="7"/>
        <v>0</v>
      </c>
      <c r="L11" s="45">
        <f t="shared" si="7"/>
        <v>0</v>
      </c>
      <c r="M11" s="46">
        <f t="shared" si="7"/>
        <v>0</v>
      </c>
      <c r="N11" s="46">
        <f t="shared" si="7"/>
        <v>0</v>
      </c>
      <c r="O11" s="46">
        <f t="shared" si="7"/>
        <v>0</v>
      </c>
      <c r="P11" s="46">
        <f t="shared" si="7"/>
        <v>0</v>
      </c>
      <c r="Q11" s="47"/>
      <c r="R11" s="45">
        <f t="shared" ref="R11:BQ11" si="8">SUBTOTAL(9,R9:R10)</f>
        <v>0</v>
      </c>
      <c r="S11" s="45">
        <f t="shared" si="8"/>
        <v>0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6">
        <f t="shared" si="8"/>
        <v>0</v>
      </c>
      <c r="X11" s="47"/>
      <c r="Y11" s="45">
        <f>SUBTOTAL(9,Y9:Y10)</f>
        <v>0</v>
      </c>
      <c r="Z11" s="45"/>
      <c r="AA11" s="45"/>
      <c r="AB11" s="45"/>
      <c r="AC11" s="165"/>
      <c r="AD11" s="48"/>
      <c r="AE11" s="48"/>
      <c r="AF11" s="45"/>
      <c r="AG11" s="44">
        <f t="shared" si="8"/>
        <v>0</v>
      </c>
      <c r="AH11" s="44">
        <f t="shared" si="8"/>
        <v>0</v>
      </c>
      <c r="AI11" s="44">
        <f t="shared" si="8"/>
        <v>0</v>
      </c>
      <c r="AJ11" s="45">
        <f t="shared" si="8"/>
        <v>0</v>
      </c>
      <c r="AK11" s="44">
        <f t="shared" si="8"/>
        <v>0</v>
      </c>
      <c r="AL11" s="44">
        <f t="shared" si="8"/>
        <v>0</v>
      </c>
      <c r="AM11" s="44">
        <f t="shared" si="8"/>
        <v>0</v>
      </c>
      <c r="AN11" s="44">
        <f>+AN10+AN9</f>
        <v>0</v>
      </c>
      <c r="AO11" s="49">
        <f t="shared" si="8"/>
        <v>0</v>
      </c>
      <c r="AP11" s="49">
        <f t="shared" si="8"/>
        <v>0</v>
      </c>
      <c r="AQ11" s="49">
        <f t="shared" si="8"/>
        <v>0</v>
      </c>
      <c r="AR11" s="49">
        <f t="shared" si="8"/>
        <v>0</v>
      </c>
      <c r="AS11" s="49">
        <f t="shared" si="8"/>
        <v>0</v>
      </c>
      <c r="AT11" s="49">
        <f t="shared" si="8"/>
        <v>0</v>
      </c>
      <c r="AU11" s="49">
        <f>SUBTOTAL(9,AU9:AU10)</f>
        <v>0</v>
      </c>
      <c r="AV11" s="49">
        <f t="shared" si="8"/>
        <v>0</v>
      </c>
      <c r="AW11" s="49">
        <f t="shared" si="8"/>
        <v>0</v>
      </c>
      <c r="AX11" s="49">
        <f t="shared" si="8"/>
        <v>0</v>
      </c>
      <c r="AY11" s="49">
        <f t="shared" si="8"/>
        <v>0</v>
      </c>
      <c r="AZ11" s="44">
        <f t="shared" si="8"/>
        <v>0</v>
      </c>
      <c r="BA11" s="48">
        <f t="shared" si="8"/>
        <v>0</v>
      </c>
      <c r="BB11" s="48">
        <f t="shared" si="8"/>
        <v>0</v>
      </c>
      <c r="BC11" s="44">
        <f t="shared" si="8"/>
        <v>0</v>
      </c>
      <c r="BD11" s="44">
        <f t="shared" si="8"/>
        <v>0</v>
      </c>
      <c r="BE11" s="49">
        <f t="shared" si="8"/>
        <v>0</v>
      </c>
      <c r="BF11" s="49">
        <f>SUBTOTAL(9,BF9:BF10)</f>
        <v>0</v>
      </c>
      <c r="BG11" s="49">
        <f t="shared" si="8"/>
        <v>0</v>
      </c>
      <c r="BH11" s="49">
        <f t="shared" si="8"/>
        <v>0</v>
      </c>
      <c r="BI11" s="49">
        <f t="shared" si="8"/>
        <v>0</v>
      </c>
      <c r="BJ11" s="49">
        <f t="shared" si="8"/>
        <v>0</v>
      </c>
      <c r="BK11" s="49">
        <f t="shared" si="8"/>
        <v>0</v>
      </c>
      <c r="BL11" s="49">
        <f t="shared" si="8"/>
        <v>0</v>
      </c>
      <c r="BM11" s="49">
        <f t="shared" si="8"/>
        <v>0</v>
      </c>
      <c r="BN11" s="49">
        <f t="shared" si="8"/>
        <v>0</v>
      </c>
      <c r="BO11" s="49">
        <f t="shared" si="8"/>
        <v>0</v>
      </c>
      <c r="BP11" s="49">
        <f t="shared" si="8"/>
        <v>0</v>
      </c>
      <c r="BQ11" s="49">
        <f t="shared" si="8"/>
        <v>0</v>
      </c>
      <c r="BR11" s="44">
        <f>SUBTOTAL(9,BR9:BR10)</f>
        <v>0</v>
      </c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8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</row>
    <row r="12" spans="1:125">
      <c r="A12" s="192">
        <f>A9+1</f>
        <v>43283</v>
      </c>
      <c r="B12" s="32" t="s">
        <v>43</v>
      </c>
      <c r="C12" s="33">
        <v>12172.17</v>
      </c>
      <c r="D12" s="34">
        <v>9774.1200000000008</v>
      </c>
      <c r="E12" s="34">
        <v>9775</v>
      </c>
      <c r="F12" s="171">
        <v>43283</v>
      </c>
      <c r="G12" s="33">
        <f>IF(E12-D12&lt;0,E12-D12,0)*-1</f>
        <v>0</v>
      </c>
      <c r="H12" s="33">
        <f>IF(E12-D12&gt;0,E12-D12,0)</f>
        <v>0.87999999999919964</v>
      </c>
      <c r="I12" s="34"/>
      <c r="J12" s="34"/>
      <c r="K12" s="34">
        <v>2112.0500000000002</v>
      </c>
      <c r="L12" s="34"/>
      <c r="M12" s="36">
        <f>(+K12)*M$5</f>
        <v>45.409075000000001</v>
      </c>
      <c r="N12" s="36">
        <f>(+K12)*N$5</f>
        <v>10.560250000000002</v>
      </c>
      <c r="O12" s="36">
        <f>+K12-M12-N12+P12</f>
        <v>2056.0806750000002</v>
      </c>
      <c r="P12" s="36"/>
      <c r="Q12" s="37"/>
      <c r="R12" s="34"/>
      <c r="S12" s="34"/>
      <c r="T12" s="36"/>
      <c r="U12" s="36"/>
      <c r="V12" s="36"/>
      <c r="W12" s="36"/>
      <c r="X12" s="37"/>
      <c r="Y12" s="34"/>
      <c r="Z12" s="34">
        <v>98.5</v>
      </c>
      <c r="AA12" s="34"/>
      <c r="AB12" s="34"/>
      <c r="AC12" s="34">
        <v>187.5</v>
      </c>
      <c r="AD12" s="38"/>
      <c r="AE12" s="38"/>
      <c r="AF12" s="34">
        <v>864.68</v>
      </c>
      <c r="AG12" s="33">
        <f>(AF12*0.8)*0.85</f>
        <v>587.98239999999998</v>
      </c>
      <c r="AH12" s="33">
        <f>(AF12*0.8)*0.15</f>
        <v>103.7616</v>
      </c>
      <c r="AI12" s="33">
        <f>AF12*0.2</f>
        <v>172.93600000000001</v>
      </c>
      <c r="AJ12" s="34"/>
      <c r="AK12" s="33">
        <f t="shared" ref="AK12" si="9">(C12-AF12-AJ12)/1.12</f>
        <v>10095.973214285714</v>
      </c>
      <c r="AL12" s="33">
        <f t="shared" ref="AL12:AL13" si="10">AK12-SUM(Y12:AC12)</f>
        <v>9809.9732142857138</v>
      </c>
      <c r="AM12" s="33">
        <f t="shared" ref="AM12:AM13" si="11">+AL12*0.12</f>
        <v>1177.1967857142856</v>
      </c>
      <c r="AN12" s="33">
        <f t="shared" ref="AN12:AN13" si="12">+AM12+AL12+AJ12</f>
        <v>10987.17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" thickBot="1">
      <c r="A13" s="193"/>
      <c r="B13" s="15" t="s">
        <v>44</v>
      </c>
      <c r="C13" s="33">
        <v>11597.89</v>
      </c>
      <c r="D13" s="34">
        <v>8725.06</v>
      </c>
      <c r="E13" s="34">
        <v>8726</v>
      </c>
      <c r="F13" s="171">
        <v>43284</v>
      </c>
      <c r="G13" s="33">
        <f>IF(E13-D13&lt;0,E13-D13,0)*-1</f>
        <v>0</v>
      </c>
      <c r="H13" s="33">
        <f>IF(E13-D13&gt;0,E13-D13,0)</f>
        <v>0.94000000000050932</v>
      </c>
      <c r="I13" s="34"/>
      <c r="J13" s="34"/>
      <c r="K13" s="34">
        <v>2780.77</v>
      </c>
      <c r="L13" s="34"/>
      <c r="M13" s="36">
        <f>(+K13)*M$5</f>
        <v>59.786554999999993</v>
      </c>
      <c r="N13" s="36">
        <f>(+K13)*N$5</f>
        <v>13.90385</v>
      </c>
      <c r="O13" s="36">
        <f>+K13-M13-N13+P13</f>
        <v>2707.0795949999997</v>
      </c>
      <c r="P13" s="36">
        <f>L13-(L13*(M$5+N$5))</f>
        <v>0</v>
      </c>
      <c r="Q13" s="37"/>
      <c r="R13" s="34"/>
      <c r="S13" s="34"/>
      <c r="T13" s="36"/>
      <c r="U13" s="36"/>
      <c r="V13" s="36"/>
      <c r="W13" s="36"/>
      <c r="X13" s="37"/>
      <c r="Y13" s="34"/>
      <c r="Z13" s="34">
        <v>49.2</v>
      </c>
      <c r="AA13" s="34"/>
      <c r="AB13" s="34"/>
      <c r="AC13" s="34">
        <v>42.86</v>
      </c>
      <c r="AD13" s="38"/>
      <c r="AE13" s="38"/>
      <c r="AF13" s="34">
        <v>901.6</v>
      </c>
      <c r="AG13" s="33">
        <f>(AF13*0.8)*0.85</f>
        <v>613.08800000000008</v>
      </c>
      <c r="AH13" s="33">
        <f>(AF13*0.8)*0.15</f>
        <v>108.19200000000001</v>
      </c>
      <c r="AI13" s="33">
        <f>AF13*0.2</f>
        <v>180.32000000000002</v>
      </c>
      <c r="AJ13" s="34">
        <v>0</v>
      </c>
      <c r="AK13" s="33">
        <f t="shared" ref="AK13" si="13">+AJ13+AI13+AG13</f>
        <v>793.40800000000013</v>
      </c>
      <c r="AL13" s="33">
        <f t="shared" si="10"/>
        <v>701.34800000000018</v>
      </c>
      <c r="AM13" s="33">
        <f t="shared" si="11"/>
        <v>84.161760000000015</v>
      </c>
      <c r="AN13" s="33">
        <f t="shared" si="12"/>
        <v>785.50976000000014</v>
      </c>
      <c r="AO13" s="39">
        <v>165</v>
      </c>
      <c r="AP13" s="40">
        <v>296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461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461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6" customFormat="1" ht="15" thickBot="1">
      <c r="A14" s="160"/>
      <c r="B14" s="43"/>
      <c r="C14" s="44">
        <f>SUBTOTAL(9,C12:C13)</f>
        <v>23770.059999999998</v>
      </c>
      <c r="D14" s="45">
        <f>SUBTOTAL(9,D12:D13)</f>
        <v>18499.18</v>
      </c>
      <c r="E14" s="45">
        <f>SUBTOTAL(9,E12:E13)</f>
        <v>18501</v>
      </c>
      <c r="F14" s="172"/>
      <c r="G14" s="45">
        <f t="shared" ref="G14:L14" si="14">SUBTOTAL(9,G12:G13)</f>
        <v>0</v>
      </c>
      <c r="H14" s="45">
        <f t="shared" si="14"/>
        <v>1.819999999999709</v>
      </c>
      <c r="I14" s="45">
        <f t="shared" si="14"/>
        <v>0</v>
      </c>
      <c r="J14" s="45">
        <f t="shared" si="14"/>
        <v>0</v>
      </c>
      <c r="K14" s="162">
        <f t="shared" si="14"/>
        <v>4892.82</v>
      </c>
      <c r="L14" s="163">
        <f t="shared" si="14"/>
        <v>0</v>
      </c>
      <c r="M14" s="164">
        <f t="shared" ref="M14:M22" si="15">(+K14)*M$5</f>
        <v>105.19562999999998</v>
      </c>
      <c r="N14" s="164">
        <f t="shared" ref="N14:N22" si="16">(+K14)*N$5</f>
        <v>24.464099999999998</v>
      </c>
      <c r="O14" s="164">
        <f t="shared" ref="O14:O22" si="17">+K14-M14-N14+P14</f>
        <v>4763.1602699999994</v>
      </c>
      <c r="P14" s="164">
        <f t="shared" ref="P14:P20" si="18">L14-(L14*(M$5+N$5))</f>
        <v>0</v>
      </c>
      <c r="Q14" s="47"/>
      <c r="R14" s="45">
        <f t="shared" ref="R14:BQ14" si="19">SUBTOTAL(9,R12:R13)</f>
        <v>0</v>
      </c>
      <c r="S14" s="45">
        <f t="shared" si="19"/>
        <v>0</v>
      </c>
      <c r="T14" s="46">
        <f t="shared" si="19"/>
        <v>0</v>
      </c>
      <c r="U14" s="46">
        <f t="shared" si="19"/>
        <v>0</v>
      </c>
      <c r="V14" s="46">
        <f t="shared" si="19"/>
        <v>0</v>
      </c>
      <c r="W14" s="46">
        <f t="shared" si="19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9"/>
        <v>1201.0704000000001</v>
      </c>
      <c r="AH14" s="44">
        <f t="shared" si="19"/>
        <v>211.95359999999999</v>
      </c>
      <c r="AI14" s="44">
        <f t="shared" si="19"/>
        <v>353.25600000000003</v>
      </c>
      <c r="AJ14" s="45">
        <f t="shared" si="19"/>
        <v>0</v>
      </c>
      <c r="AK14" s="44">
        <f t="shared" si="19"/>
        <v>10889.381214285713</v>
      </c>
      <c r="AL14" s="44">
        <f t="shared" si="19"/>
        <v>10511.321214285714</v>
      </c>
      <c r="AM14" s="44">
        <f t="shared" si="19"/>
        <v>1261.3585457142856</v>
      </c>
      <c r="AN14" s="44">
        <f t="shared" ref="AN14:AN41" si="20">+AM14+AL14+AJ14</f>
        <v>11772.679759999999</v>
      </c>
      <c r="AO14" s="49">
        <f t="shared" si="19"/>
        <v>165</v>
      </c>
      <c r="AP14" s="49">
        <f t="shared" si="19"/>
        <v>296</v>
      </c>
      <c r="AQ14" s="49">
        <f t="shared" si="19"/>
        <v>0</v>
      </c>
      <c r="AR14" s="49">
        <f t="shared" si="19"/>
        <v>0</v>
      </c>
      <c r="AS14" s="49">
        <f t="shared" si="19"/>
        <v>0</v>
      </c>
      <c r="AT14" s="49">
        <f t="shared" si="19"/>
        <v>0</v>
      </c>
      <c r="AU14" s="49">
        <f>SUBTOTAL(9,AU12:AU13)</f>
        <v>0</v>
      </c>
      <c r="AV14" s="49">
        <f t="shared" si="19"/>
        <v>0</v>
      </c>
      <c r="AW14" s="49">
        <f t="shared" si="19"/>
        <v>0</v>
      </c>
      <c r="AX14" s="49">
        <f t="shared" si="19"/>
        <v>0</v>
      </c>
      <c r="AY14" s="49">
        <f t="shared" si="19"/>
        <v>0</v>
      </c>
      <c r="AZ14" s="44">
        <f t="shared" si="19"/>
        <v>461</v>
      </c>
      <c r="BA14" s="48">
        <f t="shared" si="19"/>
        <v>0</v>
      </c>
      <c r="BB14" s="48">
        <f t="shared" si="19"/>
        <v>0</v>
      </c>
      <c r="BC14" s="44">
        <f t="shared" si="19"/>
        <v>0</v>
      </c>
      <c r="BD14" s="44">
        <v>0</v>
      </c>
      <c r="BE14" s="49">
        <f t="shared" si="19"/>
        <v>0</v>
      </c>
      <c r="BF14" s="49">
        <f>SUBTOTAL(9,BF12:BF13)</f>
        <v>0</v>
      </c>
      <c r="BG14" s="49">
        <f t="shared" si="19"/>
        <v>0</v>
      </c>
      <c r="BH14" s="49">
        <f t="shared" si="19"/>
        <v>0</v>
      </c>
      <c r="BI14" s="49">
        <f t="shared" si="19"/>
        <v>0</v>
      </c>
      <c r="BJ14" s="49">
        <f t="shared" si="19"/>
        <v>0</v>
      </c>
      <c r="BK14" s="49">
        <f t="shared" si="19"/>
        <v>0</v>
      </c>
      <c r="BL14" s="49">
        <f t="shared" si="19"/>
        <v>0</v>
      </c>
      <c r="BM14" s="49">
        <f t="shared" si="19"/>
        <v>0</v>
      </c>
      <c r="BN14" s="49">
        <f t="shared" si="19"/>
        <v>0</v>
      </c>
      <c r="BO14" s="49">
        <f t="shared" si="19"/>
        <v>0</v>
      </c>
      <c r="BP14" s="49">
        <f t="shared" si="19"/>
        <v>0</v>
      </c>
      <c r="BQ14" s="49">
        <f t="shared" si="19"/>
        <v>0</v>
      </c>
      <c r="BR14" s="44">
        <f>SUBTOTAL(9,BR12:BR13)</f>
        <v>461</v>
      </c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</row>
    <row r="15" spans="1:125">
      <c r="A15" s="192">
        <f>+A12+1</f>
        <v>43284</v>
      </c>
      <c r="B15" s="32" t="s">
        <v>43</v>
      </c>
      <c r="C15" s="33">
        <v>18763.349999999999</v>
      </c>
      <c r="D15" s="34">
        <v>15159.32</v>
      </c>
      <c r="E15" s="34">
        <v>15160</v>
      </c>
      <c r="F15" s="171">
        <v>43284</v>
      </c>
      <c r="G15" s="33">
        <f>IF(E15-D15&lt;0,E15-D15,0)*-1</f>
        <v>0</v>
      </c>
      <c r="H15" s="33">
        <f>IF(E15-D15&gt;0,E15-D15,0)</f>
        <v>0.68000000000029104</v>
      </c>
      <c r="I15" s="34"/>
      <c r="J15" s="34"/>
      <c r="K15" s="34">
        <v>3321.04</v>
      </c>
      <c r="L15" s="34"/>
      <c r="M15" s="36">
        <f t="shared" si="15"/>
        <v>71.402359999999987</v>
      </c>
      <c r="N15" s="36">
        <f t="shared" si="16"/>
        <v>16.6052</v>
      </c>
      <c r="O15" s="36">
        <f t="shared" si="17"/>
        <v>3233.03244</v>
      </c>
      <c r="P15" s="36">
        <f t="shared" si="18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v>125.25</v>
      </c>
      <c r="AA15" s="34"/>
      <c r="AB15" s="34"/>
      <c r="AC15" s="34">
        <v>157.74</v>
      </c>
      <c r="AD15" s="38"/>
      <c r="AE15" s="38"/>
      <c r="AF15" s="34">
        <v>1504.99</v>
      </c>
      <c r="AG15" s="33">
        <f>(AF15*0.8)*0.85</f>
        <v>1023.3932</v>
      </c>
      <c r="AH15" s="33">
        <f>(AF15*0.8)*0.15</f>
        <v>180.59879999999998</v>
      </c>
      <c r="AI15" s="33">
        <f>AF15*0.2</f>
        <v>300.99799999999999</v>
      </c>
      <c r="AJ15" s="34"/>
      <c r="AK15" s="33">
        <f t="shared" ref="AK15" si="21">(C15-AF15-AJ15)/1.12</f>
        <v>15409.249999999996</v>
      </c>
      <c r="AL15" s="33">
        <f t="shared" ref="AL15:AL16" si="22">AK15-SUM(Y15:AC15)</f>
        <v>15126.259999999997</v>
      </c>
      <c r="AM15" s="33">
        <f t="shared" ref="AM15:AM16" si="23">+AL15*0.12</f>
        <v>1815.1511999999996</v>
      </c>
      <c r="AN15" s="33">
        <f t="shared" si="20"/>
        <v>16941.411199999995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" thickBot="1">
      <c r="A16" s="193"/>
      <c r="B16" s="15" t="s">
        <v>44</v>
      </c>
      <c r="C16" s="33">
        <v>12393.75</v>
      </c>
      <c r="D16" s="34">
        <v>11666.54</v>
      </c>
      <c r="E16" s="34">
        <v>11667</v>
      </c>
      <c r="F16" s="171">
        <v>43285</v>
      </c>
      <c r="G16" s="33">
        <f>IF(E16-D16&lt;0,E16-D16,0)*-1</f>
        <v>0</v>
      </c>
      <c r="H16" s="33">
        <f>IF(E16-D16&gt;0,E16-D16,0)</f>
        <v>0.45999999999912689</v>
      </c>
      <c r="I16" s="34"/>
      <c r="J16" s="34"/>
      <c r="K16" s="34">
        <v>577.32000000000005</v>
      </c>
      <c r="L16" s="34"/>
      <c r="M16" s="36">
        <f>(+K16)*M$5</f>
        <v>12.412380000000001</v>
      </c>
      <c r="N16" s="36">
        <f t="shared" si="16"/>
        <v>2.8866000000000005</v>
      </c>
      <c r="O16" s="36">
        <f>+K16-M16-N16+P16</f>
        <v>562.02102000000002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v>117.75</v>
      </c>
      <c r="AA16" s="34"/>
      <c r="AB16" s="34"/>
      <c r="AC16" s="34">
        <v>32.14</v>
      </c>
      <c r="AD16" s="38"/>
      <c r="AE16" s="38"/>
      <c r="AF16" s="34">
        <v>993.04</v>
      </c>
      <c r="AG16" s="33">
        <f>(AF16*0.8)*0.85</f>
        <v>675.2672</v>
      </c>
      <c r="AH16" s="33">
        <f>(AF16*0.8)*0.15</f>
        <v>119.1648</v>
      </c>
      <c r="AI16" s="33">
        <f>AF16*0.2</f>
        <v>198.608</v>
      </c>
      <c r="AJ16" s="34">
        <v>0</v>
      </c>
      <c r="AK16" s="33">
        <f t="shared" ref="AK16" si="24">+AJ16+AI16+AG16</f>
        <v>873.87519999999995</v>
      </c>
      <c r="AL16" s="33">
        <f t="shared" si="22"/>
        <v>723.98519999999996</v>
      </c>
      <c r="AM16" s="33">
        <f t="shared" si="23"/>
        <v>86.878223999999989</v>
      </c>
      <c r="AN16" s="33">
        <f t="shared" si="20"/>
        <v>810.8634239999999</v>
      </c>
      <c r="AO16" s="39">
        <v>150</v>
      </c>
      <c r="AP16" s="40">
        <v>150</v>
      </c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300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300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6" customFormat="1" ht="15" thickBot="1">
      <c r="A17" s="160"/>
      <c r="B17" s="43"/>
      <c r="C17" s="44">
        <f>SUBTOTAL(9,C15:C16)</f>
        <v>31157.1</v>
      </c>
      <c r="D17" s="45">
        <f>SUBTOTAL(9,D15:D16)</f>
        <v>26825.86</v>
      </c>
      <c r="E17" s="45">
        <f>SUBTOTAL(9,E15:E16)</f>
        <v>26827</v>
      </c>
      <c r="F17" s="172"/>
      <c r="G17" s="45">
        <f t="shared" ref="G17:L17" si="25">SUBTOTAL(9,G15:G16)</f>
        <v>0</v>
      </c>
      <c r="H17" s="45">
        <f t="shared" si="25"/>
        <v>1.1399999999994179</v>
      </c>
      <c r="I17" s="45">
        <f t="shared" si="25"/>
        <v>0</v>
      </c>
      <c r="J17" s="45">
        <f t="shared" si="25"/>
        <v>0</v>
      </c>
      <c r="K17" s="162">
        <f t="shared" si="25"/>
        <v>3898.36</v>
      </c>
      <c r="L17" s="45">
        <f t="shared" si="25"/>
        <v>0</v>
      </c>
      <c r="M17" s="164">
        <f t="shared" si="15"/>
        <v>83.81474</v>
      </c>
      <c r="N17" s="164">
        <f t="shared" si="16"/>
        <v>19.491800000000001</v>
      </c>
      <c r="O17" s="164">
        <f t="shared" si="17"/>
        <v>3795.0534600000005</v>
      </c>
      <c r="P17" s="164">
        <f t="shared" si="18"/>
        <v>0</v>
      </c>
      <c r="Q17" s="47"/>
      <c r="R17" s="45">
        <f t="shared" ref="R17:BQ17" si="26">SUBTOTAL(9,R15:R16)</f>
        <v>0</v>
      </c>
      <c r="S17" s="45">
        <f t="shared" si="26"/>
        <v>0</v>
      </c>
      <c r="T17" s="46">
        <f t="shared" si="26"/>
        <v>0</v>
      </c>
      <c r="U17" s="46">
        <f t="shared" si="26"/>
        <v>0</v>
      </c>
      <c r="V17" s="46">
        <f t="shared" si="26"/>
        <v>0</v>
      </c>
      <c r="W17" s="46">
        <f t="shared" si="26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6"/>
        <v>1698.6604</v>
      </c>
      <c r="AH17" s="44">
        <f t="shared" si="26"/>
        <v>299.7636</v>
      </c>
      <c r="AI17" s="44">
        <f t="shared" si="26"/>
        <v>499.60599999999999</v>
      </c>
      <c r="AJ17" s="45">
        <f t="shared" si="26"/>
        <v>0</v>
      </c>
      <c r="AK17" s="44">
        <f t="shared" si="26"/>
        <v>16283.125199999997</v>
      </c>
      <c r="AL17" s="44">
        <f t="shared" si="26"/>
        <v>15850.245199999996</v>
      </c>
      <c r="AM17" s="44">
        <f t="shared" si="26"/>
        <v>1902.0294239999996</v>
      </c>
      <c r="AN17" s="44">
        <f t="shared" si="20"/>
        <v>17752.274623999994</v>
      </c>
      <c r="AO17" s="49">
        <f t="shared" si="26"/>
        <v>150</v>
      </c>
      <c r="AP17" s="49">
        <f t="shared" si="26"/>
        <v>150</v>
      </c>
      <c r="AQ17" s="49">
        <f t="shared" si="26"/>
        <v>0</v>
      </c>
      <c r="AR17" s="49">
        <f t="shared" si="26"/>
        <v>0</v>
      </c>
      <c r="AS17" s="49">
        <f t="shared" si="26"/>
        <v>0</v>
      </c>
      <c r="AT17" s="49">
        <f t="shared" si="26"/>
        <v>0</v>
      </c>
      <c r="AU17" s="49">
        <f>SUBTOTAL(9,AU15:AU16)</f>
        <v>0</v>
      </c>
      <c r="AV17" s="49">
        <f t="shared" si="26"/>
        <v>0</v>
      </c>
      <c r="AW17" s="49">
        <f t="shared" si="26"/>
        <v>0</v>
      </c>
      <c r="AX17" s="49">
        <f t="shared" si="26"/>
        <v>0</v>
      </c>
      <c r="AY17" s="49">
        <f t="shared" si="26"/>
        <v>0</v>
      </c>
      <c r="AZ17" s="44">
        <f t="shared" si="26"/>
        <v>300</v>
      </c>
      <c r="BA17" s="48">
        <f t="shared" si="26"/>
        <v>0</v>
      </c>
      <c r="BB17" s="48">
        <f t="shared" si="26"/>
        <v>0</v>
      </c>
      <c r="BC17" s="44">
        <f t="shared" si="26"/>
        <v>0</v>
      </c>
      <c r="BD17" s="44">
        <f t="shared" si="26"/>
        <v>0</v>
      </c>
      <c r="BE17" s="49">
        <f t="shared" si="26"/>
        <v>0</v>
      </c>
      <c r="BF17" s="49">
        <f>SUBTOTAL(9,BF15:BF16)</f>
        <v>0</v>
      </c>
      <c r="BG17" s="49">
        <f t="shared" si="26"/>
        <v>0</v>
      </c>
      <c r="BH17" s="49">
        <f t="shared" si="26"/>
        <v>0</v>
      </c>
      <c r="BI17" s="49">
        <f t="shared" si="26"/>
        <v>0</v>
      </c>
      <c r="BJ17" s="49">
        <f t="shared" si="26"/>
        <v>0</v>
      </c>
      <c r="BK17" s="49">
        <f t="shared" si="26"/>
        <v>0</v>
      </c>
      <c r="BL17" s="49">
        <f t="shared" si="26"/>
        <v>0</v>
      </c>
      <c r="BM17" s="49">
        <f t="shared" si="26"/>
        <v>0</v>
      </c>
      <c r="BN17" s="49">
        <f t="shared" si="26"/>
        <v>0</v>
      </c>
      <c r="BO17" s="49">
        <f t="shared" si="26"/>
        <v>0</v>
      </c>
      <c r="BP17" s="49">
        <f t="shared" si="26"/>
        <v>0</v>
      </c>
      <c r="BQ17" s="49">
        <f t="shared" si="26"/>
        <v>0</v>
      </c>
      <c r="BR17" s="44">
        <f>SUBTOTAL(9,BR15:BR16)</f>
        <v>300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167"/>
      <c r="DQ17" s="167"/>
      <c r="DR17" s="167"/>
      <c r="DS17" s="167"/>
      <c r="DT17" s="167"/>
      <c r="DU17" s="167"/>
    </row>
    <row r="18" spans="1:125">
      <c r="A18" s="192">
        <f>+A15+1</f>
        <v>43285</v>
      </c>
      <c r="B18" s="32" t="s">
        <v>43</v>
      </c>
      <c r="C18" s="33">
        <v>17502.509999999998</v>
      </c>
      <c r="D18" s="34">
        <v>12771.64</v>
      </c>
      <c r="E18" s="34">
        <v>12772</v>
      </c>
      <c r="F18" s="171">
        <v>43285</v>
      </c>
      <c r="G18" s="33">
        <f>IF(E18-D18&lt;0,E18-D18,0)*-1</f>
        <v>0</v>
      </c>
      <c r="H18" s="33">
        <f>IF(E18-D18&gt;0,E18-D18,0)</f>
        <v>0.36000000000058208</v>
      </c>
      <c r="I18" s="34"/>
      <c r="J18" s="34"/>
      <c r="K18" s="34">
        <v>4462.54</v>
      </c>
      <c r="L18" s="34"/>
      <c r="M18" s="36">
        <f t="shared" si="15"/>
        <v>95.944609999999997</v>
      </c>
      <c r="N18" s="36">
        <f t="shared" si="16"/>
        <v>22.3127</v>
      </c>
      <c r="O18" s="36">
        <f t="shared" si="17"/>
        <v>4344.28269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f>39+32</f>
        <v>71</v>
      </c>
      <c r="AA18" s="34"/>
      <c r="AB18" s="34"/>
      <c r="AC18" s="34">
        <v>197.33</v>
      </c>
      <c r="AD18" s="38"/>
      <c r="AE18" s="38"/>
      <c r="AF18" s="34">
        <v>1380.9</v>
      </c>
      <c r="AG18" s="33">
        <f>(AF18*0.8)*0.85</f>
        <v>939.01199999999994</v>
      </c>
      <c r="AH18" s="33">
        <f>(AF18*0.8)*0.15</f>
        <v>165.708</v>
      </c>
      <c r="AI18" s="33">
        <f>AF18*0.2</f>
        <v>276.18</v>
      </c>
      <c r="AJ18" s="34"/>
      <c r="AK18" s="33">
        <f t="shared" ref="AK18:AK19" si="27">(C18-AF18-AJ18)/1.12</f>
        <v>14394.294642857139</v>
      </c>
      <c r="AL18" s="33">
        <f t="shared" ref="AL18:AL19" si="28">AK18-SUM(Y18:AC18)</f>
        <v>14125.96464285714</v>
      </c>
      <c r="AM18" s="33">
        <f t="shared" ref="AM18:AM19" si="29">+AL18*0.12</f>
        <v>1695.1157571428566</v>
      </c>
      <c r="AN18" s="33">
        <f t="shared" ref="AN18:AN19" si="30">+AM18+AL18+AJ18</f>
        <v>15821.080399999995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" thickBot="1">
      <c r="A19" s="193"/>
      <c r="B19" s="15" t="s">
        <v>44</v>
      </c>
      <c r="C19" s="33">
        <v>12950.08</v>
      </c>
      <c r="D19" s="34">
        <v>11958.13</v>
      </c>
      <c r="E19" s="34">
        <v>11960</v>
      </c>
      <c r="F19" s="171">
        <v>43286</v>
      </c>
      <c r="G19" s="33">
        <f>IF(E19-D19&lt;0,E19-D19,0)*-1</f>
        <v>0</v>
      </c>
      <c r="H19" s="33">
        <f>IF(E19-D19&gt;0,E19-D19,0)</f>
        <v>1.8700000000008004</v>
      </c>
      <c r="I19" s="34"/>
      <c r="J19" s="34"/>
      <c r="K19" s="34">
        <v>925.89</v>
      </c>
      <c r="L19" s="34"/>
      <c r="M19" s="36">
        <f t="shared" si="15"/>
        <v>19.906634999999998</v>
      </c>
      <c r="N19" s="36">
        <f t="shared" si="16"/>
        <v>4.6294500000000003</v>
      </c>
      <c r="O19" s="36">
        <f t="shared" si="17"/>
        <v>901.35391499999992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36.6</v>
      </c>
      <c r="AA19" s="34"/>
      <c r="AB19" s="34"/>
      <c r="AC19" s="34">
        <v>29.46</v>
      </c>
      <c r="AD19" s="38"/>
      <c r="AE19" s="38"/>
      <c r="AF19" s="34">
        <v>910.03</v>
      </c>
      <c r="AG19" s="33">
        <f>(AF19*0.8)*0.85</f>
        <v>618.82039999999995</v>
      </c>
      <c r="AH19" s="33">
        <f>(AF19*0.8)*0.15</f>
        <v>109.20359999999999</v>
      </c>
      <c r="AI19" s="33">
        <f>AF19*0.2</f>
        <v>182.006</v>
      </c>
      <c r="AJ19" s="34">
        <v>0</v>
      </c>
      <c r="AK19" s="33">
        <f t="shared" si="27"/>
        <v>10750.044642857141</v>
      </c>
      <c r="AL19" s="33">
        <f t="shared" si="28"/>
        <v>10683.984642857142</v>
      </c>
      <c r="AM19" s="33">
        <f t="shared" si="29"/>
        <v>1282.078157142857</v>
      </c>
      <c r="AN19" s="33">
        <f t="shared" si="30"/>
        <v>11966.0628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6" customFormat="1" ht="15" thickBot="1">
      <c r="A20" s="160"/>
      <c r="B20" s="43"/>
      <c r="C20" s="44">
        <f>SUBTOTAL(9,C18:C19)</f>
        <v>30452.589999999997</v>
      </c>
      <c r="D20" s="45">
        <f>SUBTOTAL(9,D18:D19)</f>
        <v>24729.769999999997</v>
      </c>
      <c r="E20" s="45">
        <f>SUBTOTAL(9,E18:E19)</f>
        <v>24732</v>
      </c>
      <c r="F20" s="172"/>
      <c r="G20" s="45">
        <f t="shared" ref="G20:L20" si="31">SUBTOTAL(9,G18:G19)</f>
        <v>0</v>
      </c>
      <c r="H20" s="45">
        <f t="shared" si="31"/>
        <v>2.2300000000013824</v>
      </c>
      <c r="I20" s="45">
        <f t="shared" si="31"/>
        <v>0</v>
      </c>
      <c r="J20" s="45">
        <f t="shared" si="31"/>
        <v>0</v>
      </c>
      <c r="K20" s="162">
        <f t="shared" si="31"/>
        <v>5388.43</v>
      </c>
      <c r="L20" s="45">
        <f t="shared" si="31"/>
        <v>0</v>
      </c>
      <c r="M20" s="164">
        <f t="shared" si="15"/>
        <v>115.85124499999999</v>
      </c>
      <c r="N20" s="164">
        <f t="shared" si="16"/>
        <v>26.942150000000002</v>
      </c>
      <c r="O20" s="164">
        <f t="shared" si="17"/>
        <v>5245.6366050000006</v>
      </c>
      <c r="P20" s="164">
        <f t="shared" si="18"/>
        <v>0</v>
      </c>
      <c r="Q20" s="47"/>
      <c r="R20" s="45">
        <f t="shared" ref="R20:BQ20" si="32">SUBTOTAL(9,R18:R19)</f>
        <v>0</v>
      </c>
      <c r="S20" s="45">
        <f t="shared" si="32"/>
        <v>0</v>
      </c>
      <c r="T20" s="46">
        <f t="shared" si="32"/>
        <v>0</v>
      </c>
      <c r="U20" s="46">
        <f t="shared" si="32"/>
        <v>0</v>
      </c>
      <c r="V20" s="46">
        <f t="shared" si="32"/>
        <v>0</v>
      </c>
      <c r="W20" s="46">
        <f t="shared" si="32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32"/>
        <v>1557.8323999999998</v>
      </c>
      <c r="AH20" s="44">
        <f t="shared" si="32"/>
        <v>274.91160000000002</v>
      </c>
      <c r="AI20" s="44">
        <f t="shared" si="32"/>
        <v>458.18600000000004</v>
      </c>
      <c r="AJ20" s="45">
        <v>0</v>
      </c>
      <c r="AK20" s="44">
        <f>SUBTOTAL(9,AK18:AK19)</f>
        <v>25144.339285714283</v>
      </c>
      <c r="AL20" s="44">
        <f t="shared" si="32"/>
        <v>24809.949285714283</v>
      </c>
      <c r="AM20" s="44">
        <f t="shared" si="32"/>
        <v>2977.1939142857136</v>
      </c>
      <c r="AN20" s="44">
        <f t="shared" si="20"/>
        <v>27787.143199999999</v>
      </c>
      <c r="AO20" s="49">
        <f t="shared" si="32"/>
        <v>0</v>
      </c>
      <c r="AP20" s="49">
        <f t="shared" si="32"/>
        <v>0</v>
      </c>
      <c r="AQ20" s="49">
        <f t="shared" si="32"/>
        <v>0</v>
      </c>
      <c r="AR20" s="49">
        <f t="shared" si="32"/>
        <v>0</v>
      </c>
      <c r="AS20" s="49">
        <f t="shared" si="32"/>
        <v>0</v>
      </c>
      <c r="AT20" s="49">
        <f t="shared" si="32"/>
        <v>0</v>
      </c>
      <c r="AU20" s="49">
        <f>SUBTOTAL(9,AU18:AU19)</f>
        <v>0</v>
      </c>
      <c r="AV20" s="49">
        <f t="shared" si="32"/>
        <v>0</v>
      </c>
      <c r="AW20" s="49">
        <f t="shared" si="32"/>
        <v>0</v>
      </c>
      <c r="AX20" s="49">
        <f t="shared" si="32"/>
        <v>0</v>
      </c>
      <c r="AY20" s="49">
        <f t="shared" si="32"/>
        <v>0</v>
      </c>
      <c r="AZ20" s="44">
        <f t="shared" si="32"/>
        <v>0</v>
      </c>
      <c r="BA20" s="48">
        <f t="shared" si="32"/>
        <v>0</v>
      </c>
      <c r="BB20" s="48">
        <f t="shared" si="32"/>
        <v>0</v>
      </c>
      <c r="BC20" s="44">
        <f t="shared" si="32"/>
        <v>0</v>
      </c>
      <c r="BD20" s="44">
        <f t="shared" si="32"/>
        <v>0</v>
      </c>
      <c r="BE20" s="49">
        <f t="shared" si="32"/>
        <v>0</v>
      </c>
      <c r="BF20" s="49">
        <f>SUBTOTAL(9,BF18:BF19)</f>
        <v>0</v>
      </c>
      <c r="BG20" s="49">
        <f t="shared" si="32"/>
        <v>0</v>
      </c>
      <c r="BH20" s="49">
        <f t="shared" si="32"/>
        <v>0</v>
      </c>
      <c r="BI20" s="49">
        <f t="shared" si="32"/>
        <v>0</v>
      </c>
      <c r="BJ20" s="49">
        <f t="shared" si="32"/>
        <v>0</v>
      </c>
      <c r="BK20" s="49">
        <f t="shared" si="32"/>
        <v>0</v>
      </c>
      <c r="BL20" s="49">
        <f t="shared" si="32"/>
        <v>0</v>
      </c>
      <c r="BM20" s="49">
        <f t="shared" si="32"/>
        <v>0</v>
      </c>
      <c r="BN20" s="49">
        <f t="shared" si="32"/>
        <v>0</v>
      </c>
      <c r="BO20" s="49">
        <f t="shared" si="32"/>
        <v>0</v>
      </c>
      <c r="BP20" s="49">
        <f t="shared" si="32"/>
        <v>0</v>
      </c>
      <c r="BQ20" s="49">
        <f t="shared" si="32"/>
        <v>0</v>
      </c>
      <c r="BR20" s="44">
        <f>SUBTOTAL(9,BR18:BR19)</f>
        <v>0</v>
      </c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167"/>
      <c r="DT20" s="167"/>
      <c r="DU20" s="167"/>
    </row>
    <row r="21" spans="1:125">
      <c r="A21" s="192">
        <f>+A18+1</f>
        <v>43286</v>
      </c>
      <c r="B21" s="32" t="s">
        <v>43</v>
      </c>
      <c r="C21" s="33">
        <v>24724.15</v>
      </c>
      <c r="D21" s="34">
        <v>15955.51</v>
      </c>
      <c r="E21" s="34">
        <v>15960</v>
      </c>
      <c r="F21" s="171">
        <v>43286</v>
      </c>
      <c r="G21" s="33">
        <f>IF(E21-D21&lt;0,E21-D21,0)*-1</f>
        <v>0</v>
      </c>
      <c r="H21" s="33">
        <f>IF(E21-D21&gt;0,E21-D21,0)</f>
        <v>4.4899999999997817</v>
      </c>
      <c r="I21" s="34"/>
      <c r="J21" s="34"/>
      <c r="K21" s="34">
        <v>8352.94</v>
      </c>
      <c r="L21" s="34"/>
      <c r="M21" s="36">
        <f t="shared" si="15"/>
        <v>179.58821</v>
      </c>
      <c r="N21" s="36">
        <f t="shared" si="16"/>
        <v>41.764700000000005</v>
      </c>
      <c r="O21" s="36">
        <f t="shared" si="17"/>
        <v>8131.5870900000009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v>58.25</v>
      </c>
      <c r="AA21" s="34"/>
      <c r="AB21" s="34"/>
      <c r="AC21" s="34">
        <v>357.45</v>
      </c>
      <c r="AD21" s="38"/>
      <c r="AE21" s="38"/>
      <c r="AF21" s="34">
        <v>1873.62</v>
      </c>
      <c r="AG21" s="33">
        <f>(AF21*0.8)*0.85</f>
        <v>1274.0616</v>
      </c>
      <c r="AH21" s="33">
        <f>(AF21*0.8)*0.15</f>
        <v>224.83439999999999</v>
      </c>
      <c r="AI21" s="33">
        <f>AF21*0.2</f>
        <v>374.72399999999999</v>
      </c>
      <c r="AJ21" s="34">
        <v>0</v>
      </c>
      <c r="AK21" s="33">
        <f t="shared" ref="AK21" si="33">(C21-AF21-AJ21)/1.12</f>
        <v>20402.258928571428</v>
      </c>
      <c r="AL21" s="33">
        <f t="shared" ref="AL21" si="34">AK21-SUM(Y21:AC21)</f>
        <v>19986.558928571427</v>
      </c>
      <c r="AM21" s="33">
        <f t="shared" ref="AM21" si="35">+AL21*0.12</f>
        <v>2398.3870714285713</v>
      </c>
      <c r="AN21" s="33">
        <f t="shared" si="20"/>
        <v>22384.945999999996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" thickBot="1">
      <c r="A22" s="193"/>
      <c r="B22" s="15" t="s">
        <v>44</v>
      </c>
      <c r="C22" s="33">
        <v>26150.05</v>
      </c>
      <c r="D22" s="34">
        <v>19713.91</v>
      </c>
      <c r="E22" s="34">
        <v>19718</v>
      </c>
      <c r="F22" s="171">
        <v>43287</v>
      </c>
      <c r="G22" s="33">
        <f>IF(E22-D22&lt;0,E22-D22,0)*-1</f>
        <v>0</v>
      </c>
      <c r="H22" s="33">
        <f>IF(E22-D22&gt;0,E22-D22,0)</f>
        <v>4.0900000000001455</v>
      </c>
      <c r="I22" s="34"/>
      <c r="J22" s="34"/>
      <c r="K22" s="34">
        <v>6386.49</v>
      </c>
      <c r="L22" s="34"/>
      <c r="M22" s="36">
        <f t="shared" si="15"/>
        <v>137.30953499999998</v>
      </c>
      <c r="N22" s="36">
        <f t="shared" si="16"/>
        <v>31.932449999999999</v>
      </c>
      <c r="O22" s="36">
        <f t="shared" si="17"/>
        <v>6217.2480149999992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49.65</v>
      </c>
      <c r="AA22" s="34"/>
      <c r="AB22" s="34"/>
      <c r="AC22" s="34"/>
      <c r="AD22" s="38"/>
      <c r="AE22" s="38"/>
      <c r="AF22" s="34">
        <v>2016.05</v>
      </c>
      <c r="AG22" s="33">
        <f>(AF22*0.8)*0.85</f>
        <v>1370.914</v>
      </c>
      <c r="AH22" s="33">
        <f>(AF22*0.8)*0.15</f>
        <v>241.92600000000002</v>
      </c>
      <c r="AI22" s="33">
        <f>AF22*0.2</f>
        <v>403.21000000000004</v>
      </c>
      <c r="AJ22" s="34">
        <v>0</v>
      </c>
      <c r="AK22" s="33">
        <f>(C22-AF22-AJ22)/1.12</f>
        <v>21548.214285714283</v>
      </c>
      <c r="AL22" s="33">
        <f>AK22-SUM(Y22:AC22)</f>
        <v>21498.564285714281</v>
      </c>
      <c r="AM22" s="33">
        <f>+AL22*0.12</f>
        <v>2579.8277142857137</v>
      </c>
      <c r="AN22" s="33">
        <f>+AM22+AL22+AJ22</f>
        <v>24078.391999999996</v>
      </c>
      <c r="AO22" s="39"/>
      <c r="AP22" s="40">
        <v>970</v>
      </c>
      <c r="AQ22" s="40">
        <v>400</v>
      </c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1370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1370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" thickBot="1">
      <c r="A23" s="42"/>
      <c r="B23" s="43"/>
      <c r="C23" s="44">
        <f>SUBTOTAL(9,C21:C22)</f>
        <v>50874.2</v>
      </c>
      <c r="D23" s="45">
        <f>SUBTOTAL(9,D21:D22)</f>
        <v>35669.42</v>
      </c>
      <c r="E23" s="45">
        <f>SUBTOTAL(9,E21:E22)</f>
        <v>35678</v>
      </c>
      <c r="F23" s="172"/>
      <c r="G23" s="45">
        <f t="shared" ref="G23:P23" si="36">SUBTOTAL(9,G21:G22)</f>
        <v>0</v>
      </c>
      <c r="H23" s="45">
        <f t="shared" si="36"/>
        <v>8.5799999999999272</v>
      </c>
      <c r="I23" s="45">
        <f t="shared" si="36"/>
        <v>0</v>
      </c>
      <c r="J23" s="45">
        <f t="shared" si="36"/>
        <v>0</v>
      </c>
      <c r="K23" s="162">
        <f t="shared" si="36"/>
        <v>14739.43</v>
      </c>
      <c r="L23" s="45">
        <f t="shared" si="36"/>
        <v>0</v>
      </c>
      <c r="M23" s="46">
        <f t="shared" si="36"/>
        <v>316.89774499999999</v>
      </c>
      <c r="N23" s="46">
        <f t="shared" si="36"/>
        <v>73.697150000000008</v>
      </c>
      <c r="O23" s="46">
        <f t="shared" si="36"/>
        <v>14348.835105</v>
      </c>
      <c r="P23" s="46">
        <f t="shared" si="36"/>
        <v>0</v>
      </c>
      <c r="Q23" s="47"/>
      <c r="R23" s="45">
        <f t="shared" ref="R23:BQ23" si="37">SUBTOTAL(9,R21:R22)</f>
        <v>0</v>
      </c>
      <c r="S23" s="45">
        <f t="shared" si="37"/>
        <v>0</v>
      </c>
      <c r="T23" s="46">
        <f t="shared" si="37"/>
        <v>0</v>
      </c>
      <c r="U23" s="46">
        <f t="shared" si="37"/>
        <v>0</v>
      </c>
      <c r="V23" s="46">
        <f t="shared" si="37"/>
        <v>0</v>
      </c>
      <c r="W23" s="46">
        <f t="shared" si="37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7"/>
        <v>2644.9755999999998</v>
      </c>
      <c r="AH23" s="44">
        <f t="shared" si="37"/>
        <v>466.7604</v>
      </c>
      <c r="AI23" s="44">
        <f t="shared" si="37"/>
        <v>777.93399999999997</v>
      </c>
      <c r="AJ23" s="45">
        <v>0</v>
      </c>
      <c r="AK23" s="44">
        <f>SUBTOTAL(9,AK21:AK22)</f>
        <v>41950.47321428571</v>
      </c>
      <c r="AL23" s="44">
        <f t="shared" ref="AL23:AM23" si="38">SUBTOTAL(9,AL21:AL22)</f>
        <v>41485.123214285704</v>
      </c>
      <c r="AM23" s="44">
        <f t="shared" si="38"/>
        <v>4978.2147857142845</v>
      </c>
      <c r="AN23" s="44">
        <f t="shared" si="20"/>
        <v>46463.337999999989</v>
      </c>
      <c r="AO23" s="49">
        <f t="shared" si="37"/>
        <v>0</v>
      </c>
      <c r="AP23" s="49">
        <f t="shared" si="37"/>
        <v>970</v>
      </c>
      <c r="AQ23" s="49">
        <f t="shared" si="37"/>
        <v>400</v>
      </c>
      <c r="AR23" s="49">
        <f t="shared" si="37"/>
        <v>0</v>
      </c>
      <c r="AS23" s="49">
        <f t="shared" si="37"/>
        <v>0</v>
      </c>
      <c r="AT23" s="49">
        <f t="shared" si="37"/>
        <v>0</v>
      </c>
      <c r="AU23" s="49">
        <f>SUBTOTAL(9,AU21:AU22)</f>
        <v>0</v>
      </c>
      <c r="AV23" s="49">
        <f t="shared" si="37"/>
        <v>0</v>
      </c>
      <c r="AW23" s="49">
        <f t="shared" si="37"/>
        <v>0</v>
      </c>
      <c r="AX23" s="49">
        <f t="shared" si="37"/>
        <v>0</v>
      </c>
      <c r="AY23" s="49">
        <f t="shared" si="37"/>
        <v>0</v>
      </c>
      <c r="AZ23" s="44">
        <f t="shared" si="37"/>
        <v>1370</v>
      </c>
      <c r="BA23" s="48"/>
      <c r="BB23" s="48">
        <f t="shared" si="37"/>
        <v>0</v>
      </c>
      <c r="BC23" s="44">
        <f t="shared" si="37"/>
        <v>0</v>
      </c>
      <c r="BD23" s="44">
        <f t="shared" si="37"/>
        <v>0</v>
      </c>
      <c r="BE23" s="49">
        <f t="shared" si="37"/>
        <v>0</v>
      </c>
      <c r="BF23" s="49">
        <f>SUBTOTAL(9,BF21:BF22)</f>
        <v>0</v>
      </c>
      <c r="BG23" s="49">
        <f t="shared" si="37"/>
        <v>0</v>
      </c>
      <c r="BH23" s="49">
        <f t="shared" si="37"/>
        <v>0</v>
      </c>
      <c r="BI23" s="49">
        <f t="shared" si="37"/>
        <v>0</v>
      </c>
      <c r="BJ23" s="49">
        <f t="shared" si="37"/>
        <v>0</v>
      </c>
      <c r="BK23" s="49">
        <f t="shared" si="37"/>
        <v>0</v>
      </c>
      <c r="BL23" s="49">
        <f t="shared" si="37"/>
        <v>0</v>
      </c>
      <c r="BM23" s="49">
        <f t="shared" si="37"/>
        <v>0</v>
      </c>
      <c r="BN23" s="49">
        <f t="shared" si="37"/>
        <v>0</v>
      </c>
      <c r="BO23" s="49">
        <f t="shared" si="37"/>
        <v>0</v>
      </c>
      <c r="BP23" s="49">
        <f t="shared" si="37"/>
        <v>0</v>
      </c>
      <c r="BQ23" s="49">
        <f t="shared" si="37"/>
        <v>0</v>
      </c>
      <c r="BR23" s="44">
        <f>SUBTOTAL(9,BR21:BR22)</f>
        <v>1370</v>
      </c>
    </row>
    <row r="24" spans="1:125">
      <c r="A24" s="192">
        <f>A21+1</f>
        <v>43287</v>
      </c>
      <c r="B24" s="32" t="s">
        <v>43</v>
      </c>
      <c r="C24" s="33">
        <v>38808.589999999997</v>
      </c>
      <c r="D24" s="34">
        <v>25295.52</v>
      </c>
      <c r="E24" s="34">
        <v>25296</v>
      </c>
      <c r="F24" s="171">
        <v>43287</v>
      </c>
      <c r="G24" s="33">
        <f>IF(E24-D24&lt;0,E24-D24,0)*-1</f>
        <v>0</v>
      </c>
      <c r="H24" s="33">
        <f>IF(E24-D24&gt;0,E24-D24,0)</f>
        <v>0.47999999999956344</v>
      </c>
      <c r="I24" s="34"/>
      <c r="J24" s="34"/>
      <c r="K24" s="34">
        <v>13353.14</v>
      </c>
      <c r="L24" s="34"/>
      <c r="M24" s="36">
        <f>(+K24)*M$5</f>
        <v>287.09250999999995</v>
      </c>
      <c r="N24" s="36">
        <f>(+K24)*N$5</f>
        <v>66.765699999999995</v>
      </c>
      <c r="O24" s="36">
        <f>+K24-M24-N24+P24</f>
        <v>12999.281789999999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v>94.75</v>
      </c>
      <c r="AA24" s="34"/>
      <c r="AB24" s="34"/>
      <c r="AC24" s="34">
        <v>65.180000000000007</v>
      </c>
      <c r="AD24" s="38"/>
      <c r="AE24" s="38"/>
      <c r="AF24" s="34">
        <v>3102.7</v>
      </c>
      <c r="AG24" s="33">
        <f>(AF24*0.8)*0.85</f>
        <v>2109.8359999999998</v>
      </c>
      <c r="AH24" s="33">
        <f>(AF24*0.8)*0.15</f>
        <v>372.32399999999996</v>
      </c>
      <c r="AI24" s="33">
        <f>AF24*0.2</f>
        <v>620.54</v>
      </c>
      <c r="AJ24" s="34">
        <v>0</v>
      </c>
      <c r="AK24" s="33">
        <f>(C24-AF24-AJ24)/1.12</f>
        <v>31880.258928571424</v>
      </c>
      <c r="AL24" s="33">
        <f>AK24-SUM(Y24:AC24)</f>
        <v>31720.328928571424</v>
      </c>
      <c r="AM24" s="33">
        <f>+AL24*0.12</f>
        <v>3806.4394714285709</v>
      </c>
      <c r="AN24" s="33">
        <f>+AM24+AL24+AJ24</f>
        <v>35526.768399999994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" thickBot="1">
      <c r="A25" s="193"/>
      <c r="B25" s="15" t="s">
        <v>44</v>
      </c>
      <c r="C25" s="33">
        <v>18411.400000000001</v>
      </c>
      <c r="D25" s="34">
        <v>14527.25</v>
      </c>
      <c r="E25" s="34">
        <v>14535</v>
      </c>
      <c r="F25" s="171">
        <v>43287</v>
      </c>
      <c r="G25" s="33">
        <f>IF(E25-D25&lt;0,E25-D25,0)*-1</f>
        <v>0</v>
      </c>
      <c r="H25" s="33">
        <f>IF(E25-D25&gt;0,E25-D25,0)</f>
        <v>7.75</v>
      </c>
      <c r="I25" s="34"/>
      <c r="J25" s="34"/>
      <c r="K25" s="34">
        <v>3594.64</v>
      </c>
      <c r="L25" s="34"/>
      <c r="M25" s="36">
        <f>(+K25)*M$5</f>
        <v>77.284759999999991</v>
      </c>
      <c r="N25" s="36">
        <f>(+K25)*N$5</f>
        <v>17.973199999999999</v>
      </c>
      <c r="O25" s="36">
        <f>+K25-M25-N25+P25</f>
        <v>3499.38204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v>146.19999999999999</v>
      </c>
      <c r="AA25" s="34"/>
      <c r="AB25" s="34"/>
      <c r="AC25" s="34">
        <v>143.31</v>
      </c>
      <c r="AD25" s="38"/>
      <c r="AE25" s="38"/>
      <c r="AF25" s="34">
        <v>1350.38</v>
      </c>
      <c r="AG25" s="33">
        <f>(AF25*0.8)*0.85</f>
        <v>918.25840000000005</v>
      </c>
      <c r="AH25" s="33">
        <f>(AF25*0.8)*0.15</f>
        <v>162.04560000000001</v>
      </c>
      <c r="AI25" s="33">
        <f>AF25*0.2</f>
        <v>270.07600000000002</v>
      </c>
      <c r="AJ25" s="34">
        <v>0</v>
      </c>
      <c r="AK25" s="33">
        <f>(C25-AF25-AJ25)/1.12</f>
        <v>15233.053571428571</v>
      </c>
      <c r="AL25" s="33">
        <f>AK25-SUM(Y25:AC25)</f>
        <v>14943.54357142857</v>
      </c>
      <c r="AM25" s="33">
        <f>+AL25*0.12</f>
        <v>1793.2252285714285</v>
      </c>
      <c r="AN25" s="33">
        <f>+AM25+AL25+AJ25</f>
        <v>16736.768799999998</v>
      </c>
      <c r="AO25" s="39"/>
      <c r="AP25" s="40"/>
      <c r="AQ25" s="40"/>
      <c r="AR25" s="40">
        <v>495</v>
      </c>
      <c r="AS25" s="40"/>
      <c r="AT25" s="40"/>
      <c r="AU25" s="40"/>
      <c r="AV25" s="40"/>
      <c r="AW25" s="40"/>
      <c r="AX25" s="40"/>
      <c r="AY25" s="40"/>
      <c r="AZ25" s="33"/>
      <c r="BA25" s="38">
        <v>870</v>
      </c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870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" thickBot="1">
      <c r="A26" s="42"/>
      <c r="B26" s="43"/>
      <c r="C26" s="44">
        <f>SUBTOTAL(9,C24:C25)</f>
        <v>57219.99</v>
      </c>
      <c r="D26" s="45">
        <f>SUBTOTAL(9,D24:D25)</f>
        <v>39822.770000000004</v>
      </c>
      <c r="E26" s="45">
        <f>SUBTOTAL(9,E24:E25)</f>
        <v>39831</v>
      </c>
      <c r="F26" s="172"/>
      <c r="G26" s="45">
        <f t="shared" ref="G26:P26" si="39">SUBTOTAL(9,G24:G25)</f>
        <v>0</v>
      </c>
      <c r="H26" s="45">
        <f t="shared" si="39"/>
        <v>8.2299999999995634</v>
      </c>
      <c r="I26" s="45">
        <f t="shared" si="39"/>
        <v>0</v>
      </c>
      <c r="J26" s="45">
        <f t="shared" si="39"/>
        <v>0</v>
      </c>
      <c r="K26" s="45"/>
      <c r="L26" s="45">
        <f t="shared" si="39"/>
        <v>0</v>
      </c>
      <c r="M26" s="46">
        <f t="shared" si="39"/>
        <v>364.37726999999995</v>
      </c>
      <c r="N26" s="46">
        <f t="shared" si="39"/>
        <v>84.738900000000001</v>
      </c>
      <c r="O26" s="46">
        <f t="shared" si="39"/>
        <v>16498.663829999998</v>
      </c>
      <c r="P26" s="46">
        <f t="shared" si="39"/>
        <v>0</v>
      </c>
      <c r="Q26" s="47"/>
      <c r="R26" s="45">
        <f t="shared" ref="R26:BQ26" si="40">SUBTOTAL(9,R24:R25)</f>
        <v>0</v>
      </c>
      <c r="S26" s="45">
        <f t="shared" si="40"/>
        <v>0</v>
      </c>
      <c r="T26" s="46">
        <f t="shared" si="40"/>
        <v>0</v>
      </c>
      <c r="U26" s="46">
        <f t="shared" si="40"/>
        <v>0</v>
      </c>
      <c r="V26" s="46">
        <f t="shared" si="40"/>
        <v>0</v>
      </c>
      <c r="W26" s="46">
        <f t="shared" si="40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40"/>
        <v>3028.0944</v>
      </c>
      <c r="AH26" s="44">
        <f t="shared" si="40"/>
        <v>534.36959999999999</v>
      </c>
      <c r="AI26" s="44">
        <f t="shared" si="40"/>
        <v>890.61599999999999</v>
      </c>
      <c r="AJ26" s="45">
        <v>0</v>
      </c>
      <c r="AK26" s="44">
        <f t="shared" si="40"/>
        <v>47113.312499999993</v>
      </c>
      <c r="AL26" s="44">
        <f t="shared" si="40"/>
        <v>46663.872499999998</v>
      </c>
      <c r="AM26" s="44">
        <f t="shared" si="40"/>
        <v>5599.6646999999994</v>
      </c>
      <c r="AN26" s="44">
        <f t="shared" si="20"/>
        <v>52263.537199999999</v>
      </c>
      <c r="AO26" s="49">
        <f t="shared" si="40"/>
        <v>0</v>
      </c>
      <c r="AP26" s="49">
        <f t="shared" si="40"/>
        <v>0</v>
      </c>
      <c r="AQ26" s="49">
        <f t="shared" si="40"/>
        <v>0</v>
      </c>
      <c r="AR26" s="49">
        <f t="shared" si="40"/>
        <v>495</v>
      </c>
      <c r="AS26" s="49">
        <f t="shared" si="40"/>
        <v>0</v>
      </c>
      <c r="AT26" s="49">
        <f t="shared" si="40"/>
        <v>0</v>
      </c>
      <c r="AU26" s="49">
        <f>SUBTOTAL(9,AU24:AU25)</f>
        <v>0</v>
      </c>
      <c r="AV26" s="49">
        <f t="shared" si="40"/>
        <v>0</v>
      </c>
      <c r="AW26" s="49">
        <f t="shared" si="40"/>
        <v>0</v>
      </c>
      <c r="AX26" s="49">
        <f t="shared" si="40"/>
        <v>0</v>
      </c>
      <c r="AY26" s="49">
        <f t="shared" si="40"/>
        <v>0</v>
      </c>
      <c r="AZ26" s="44">
        <f t="shared" si="40"/>
        <v>0</v>
      </c>
      <c r="BA26" s="48">
        <f t="shared" si="40"/>
        <v>870</v>
      </c>
      <c r="BB26" s="48">
        <f t="shared" si="40"/>
        <v>0</v>
      </c>
      <c r="BC26" s="44">
        <f t="shared" si="40"/>
        <v>0</v>
      </c>
      <c r="BD26" s="44">
        <f t="shared" si="40"/>
        <v>0</v>
      </c>
      <c r="BE26" s="49">
        <f t="shared" si="40"/>
        <v>0</v>
      </c>
      <c r="BF26" s="49">
        <f>SUBTOTAL(9,BF24:BF25)</f>
        <v>0</v>
      </c>
      <c r="BG26" s="49">
        <f t="shared" si="40"/>
        <v>0</v>
      </c>
      <c r="BH26" s="49">
        <f t="shared" si="40"/>
        <v>0</v>
      </c>
      <c r="BI26" s="49">
        <f t="shared" si="40"/>
        <v>0</v>
      </c>
      <c r="BJ26" s="49">
        <f t="shared" si="40"/>
        <v>0</v>
      </c>
      <c r="BK26" s="49">
        <f t="shared" si="40"/>
        <v>0</v>
      </c>
      <c r="BL26" s="49">
        <f t="shared" si="40"/>
        <v>0</v>
      </c>
      <c r="BM26" s="49">
        <f t="shared" si="40"/>
        <v>0</v>
      </c>
      <c r="BN26" s="49">
        <f t="shared" si="40"/>
        <v>0</v>
      </c>
      <c r="BO26" s="49">
        <f t="shared" si="40"/>
        <v>0</v>
      </c>
      <c r="BP26" s="49">
        <f t="shared" si="40"/>
        <v>0</v>
      </c>
      <c r="BQ26" s="49">
        <f t="shared" si="40"/>
        <v>0</v>
      </c>
      <c r="BR26" s="44">
        <f>SUBTOTAL(9,BR24:BR25)</f>
        <v>870</v>
      </c>
    </row>
    <row r="27" spans="1:125">
      <c r="A27" s="192">
        <f>+A24+1</f>
        <v>43288</v>
      </c>
      <c r="B27" s="32" t="s">
        <v>43</v>
      </c>
      <c r="C27" s="33"/>
      <c r="D27" s="34"/>
      <c r="E27" s="34"/>
      <c r="F27" s="171"/>
      <c r="G27" s="33">
        <f>IF(E27-D27&lt;0,E27-D27,0)*-1</f>
        <v>0</v>
      </c>
      <c r="H27" s="33">
        <f>IF(E27-D27&gt;0,E27-D27,0)</f>
        <v>0</v>
      </c>
      <c r="I27" s="34"/>
      <c r="J27" s="34"/>
      <c r="K27" s="34"/>
      <c r="L27" s="34"/>
      <c r="M27" s="36">
        <f>(+K27)*M$5</f>
        <v>0</v>
      </c>
      <c r="N27" s="36">
        <f>(+K27)*N$5</f>
        <v>0</v>
      </c>
      <c r="O27" s="36">
        <f>+K27-M27-N27+P27</f>
        <v>0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/>
      <c r="AA27" s="34"/>
      <c r="AB27" s="34"/>
      <c r="AC27" s="34"/>
      <c r="AD27" s="38"/>
      <c r="AE27" s="38"/>
      <c r="AF27" s="34"/>
      <c r="AG27" s="33">
        <f>(AF27*0.8)*0.85</f>
        <v>0</v>
      </c>
      <c r="AH27" s="33">
        <f>(AF27*0.8)*0.15</f>
        <v>0</v>
      </c>
      <c r="AI27" s="33">
        <f>AF27*0.2</f>
        <v>0</v>
      </c>
      <c r="AJ27" s="34">
        <v>0</v>
      </c>
      <c r="AK27" s="33">
        <f t="shared" ref="AK27" si="41">(C27-AF27-AJ27)/1.12</f>
        <v>0</v>
      </c>
      <c r="AL27" s="33">
        <f t="shared" ref="AL27" si="42">AK27-SUM(Y27:AC27)</f>
        <v>0</v>
      </c>
      <c r="AM27" s="33">
        <f t="shared" ref="AM27" si="43">+AL27*0.12</f>
        <v>0</v>
      </c>
      <c r="AN27" s="33">
        <f t="shared" si="20"/>
        <v>0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" thickBot="1">
      <c r="A28" s="193"/>
      <c r="B28" s="15" t="s">
        <v>44</v>
      </c>
      <c r="C28" s="33">
        <v>16091.96</v>
      </c>
      <c r="D28" s="34">
        <v>14579.82</v>
      </c>
      <c r="E28" s="34">
        <v>14580</v>
      </c>
      <c r="F28" s="171">
        <v>43290</v>
      </c>
      <c r="G28" s="33">
        <f>IF(E28-D28&lt;0,E28-D28,0)*-1</f>
        <v>0</v>
      </c>
      <c r="H28" s="33">
        <f>IF(E28-D28&gt;0,E28-D28,0)</f>
        <v>0.18000000000029104</v>
      </c>
      <c r="I28" s="34"/>
      <c r="J28" s="34"/>
      <c r="K28" s="34">
        <v>1512.14</v>
      </c>
      <c r="L28" s="34"/>
      <c r="M28" s="36">
        <f>(+K28)*M$5</f>
        <v>32.511009999999999</v>
      </c>
      <c r="N28" s="36">
        <f>(+K28)*N$5</f>
        <v>7.5607000000000006</v>
      </c>
      <c r="O28" s="36">
        <f>+K28-M28-N28+P28</f>
        <v>1472.0682900000002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/>
      <c r="AD28" s="38"/>
      <c r="AE28" s="38"/>
      <c r="AF28" s="34">
        <v>1270.53</v>
      </c>
      <c r="AG28" s="33">
        <f>(AF28*0.8)*0.85</f>
        <v>863.96039999999994</v>
      </c>
      <c r="AH28" s="33">
        <f>(AF28*0.8)*0.15</f>
        <v>152.46359999999999</v>
      </c>
      <c r="AI28" s="33">
        <f>AF28*0.2</f>
        <v>254.10599999999999</v>
      </c>
      <c r="AJ28" s="34">
        <v>0</v>
      </c>
      <c r="AK28" s="33">
        <f>(C28-AF28-AJ28)/1.12</f>
        <v>13233.419642857139</v>
      </c>
      <c r="AL28" s="33">
        <f>AK28-SUM(Y28:AC28)</f>
        <v>13233.419642857139</v>
      </c>
      <c r="AM28" s="33">
        <f>+AL28*0.12</f>
        <v>1588.0103571428567</v>
      </c>
      <c r="AN28" s="33">
        <f>+AM28+AL28+AJ28</f>
        <v>14821.429999999997</v>
      </c>
      <c r="AO28" s="39">
        <v>125</v>
      </c>
      <c r="AP28" s="40"/>
      <c r="AQ28" s="40"/>
      <c r="AR28" s="40">
        <v>185</v>
      </c>
      <c r="AS28" s="40"/>
      <c r="AT28" s="40"/>
      <c r="AU28" s="40"/>
      <c r="AV28" s="40"/>
      <c r="AW28" s="40"/>
      <c r="AX28" s="40"/>
      <c r="AY28" s="40"/>
      <c r="AZ28" s="33">
        <f>SUM(AO28:AY28)</f>
        <v>310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310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" thickBot="1">
      <c r="A29" s="42"/>
      <c r="B29" s="43"/>
      <c r="C29" s="44">
        <f>SUBTOTAL(9,C27:C28)</f>
        <v>16091.96</v>
      </c>
      <c r="D29" s="45">
        <f>SUBTOTAL(9,D27:D28)</f>
        <v>14579.82</v>
      </c>
      <c r="E29" s="45">
        <f>SUBTOTAL(9,E27:E28)</f>
        <v>14580</v>
      </c>
      <c r="F29" s="172"/>
      <c r="G29" s="45">
        <f t="shared" ref="G29:P29" si="44">SUBTOTAL(9,G27:G28)</f>
        <v>0</v>
      </c>
      <c r="H29" s="45">
        <f t="shared" si="44"/>
        <v>0.18000000000029104</v>
      </c>
      <c r="I29" s="45">
        <f t="shared" si="44"/>
        <v>0</v>
      </c>
      <c r="J29" s="45">
        <f t="shared" si="44"/>
        <v>0</v>
      </c>
      <c r="K29" s="162">
        <f t="shared" si="44"/>
        <v>1512.14</v>
      </c>
      <c r="L29" s="45">
        <f t="shared" si="44"/>
        <v>0</v>
      </c>
      <c r="M29" s="46">
        <f t="shared" si="44"/>
        <v>32.511009999999999</v>
      </c>
      <c r="N29" s="46">
        <f t="shared" si="44"/>
        <v>7.5607000000000006</v>
      </c>
      <c r="O29" s="46">
        <f t="shared" si="44"/>
        <v>1472.0682900000002</v>
      </c>
      <c r="P29" s="46">
        <f t="shared" si="44"/>
        <v>0</v>
      </c>
      <c r="Q29" s="47"/>
      <c r="R29" s="45">
        <f t="shared" ref="R29:BQ29" si="45">SUBTOTAL(9,R27:R28)</f>
        <v>0</v>
      </c>
      <c r="S29" s="45">
        <f t="shared" si="45"/>
        <v>0</v>
      </c>
      <c r="T29" s="46">
        <f t="shared" si="45"/>
        <v>0</v>
      </c>
      <c r="U29" s="46">
        <f t="shared" si="45"/>
        <v>0</v>
      </c>
      <c r="V29" s="46">
        <f t="shared" si="45"/>
        <v>0</v>
      </c>
      <c r="W29" s="46">
        <f t="shared" si="45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5"/>
        <v>863.96039999999994</v>
      </c>
      <c r="AH29" s="44">
        <f t="shared" si="45"/>
        <v>152.46359999999999</v>
      </c>
      <c r="AI29" s="44">
        <f t="shared" si="45"/>
        <v>254.10599999999999</v>
      </c>
      <c r="AJ29" s="45">
        <f t="shared" si="45"/>
        <v>0</v>
      </c>
      <c r="AK29" s="44">
        <f t="shared" si="45"/>
        <v>13233.419642857139</v>
      </c>
      <c r="AL29" s="44">
        <f t="shared" si="45"/>
        <v>13233.419642857139</v>
      </c>
      <c r="AM29" s="44">
        <f t="shared" si="45"/>
        <v>1588.0103571428567</v>
      </c>
      <c r="AN29" s="44">
        <f t="shared" si="20"/>
        <v>14821.429999999997</v>
      </c>
      <c r="AO29" s="49">
        <f t="shared" si="45"/>
        <v>125</v>
      </c>
      <c r="AP29" s="49">
        <f t="shared" si="45"/>
        <v>0</v>
      </c>
      <c r="AQ29" s="49">
        <f t="shared" si="45"/>
        <v>0</v>
      </c>
      <c r="AR29" s="49">
        <f t="shared" si="45"/>
        <v>185</v>
      </c>
      <c r="AS29" s="49">
        <f t="shared" si="45"/>
        <v>0</v>
      </c>
      <c r="AT29" s="49">
        <f t="shared" si="45"/>
        <v>0</v>
      </c>
      <c r="AU29" s="49">
        <f>SUBTOTAL(9,AU27:AU28)</f>
        <v>0</v>
      </c>
      <c r="AV29" s="49">
        <f t="shared" si="45"/>
        <v>0</v>
      </c>
      <c r="AW29" s="49">
        <f t="shared" si="45"/>
        <v>0</v>
      </c>
      <c r="AX29" s="49">
        <f t="shared" si="45"/>
        <v>0</v>
      </c>
      <c r="AY29" s="49">
        <f t="shared" si="45"/>
        <v>0</v>
      </c>
      <c r="AZ29" s="44">
        <f t="shared" si="45"/>
        <v>310</v>
      </c>
      <c r="BA29" s="48">
        <f t="shared" si="45"/>
        <v>0</v>
      </c>
      <c r="BB29" s="48">
        <f t="shared" si="45"/>
        <v>0</v>
      </c>
      <c r="BC29" s="44">
        <f t="shared" si="45"/>
        <v>0</v>
      </c>
      <c r="BD29" s="44">
        <f t="shared" si="45"/>
        <v>0</v>
      </c>
      <c r="BE29" s="49">
        <f t="shared" si="45"/>
        <v>0</v>
      </c>
      <c r="BF29" s="49">
        <f>SUBTOTAL(9,BF27:BF28)</f>
        <v>0</v>
      </c>
      <c r="BG29" s="49">
        <f t="shared" si="45"/>
        <v>0</v>
      </c>
      <c r="BH29" s="49">
        <f t="shared" si="45"/>
        <v>0</v>
      </c>
      <c r="BI29" s="49">
        <f t="shared" si="45"/>
        <v>0</v>
      </c>
      <c r="BJ29" s="49">
        <f t="shared" si="45"/>
        <v>0</v>
      </c>
      <c r="BK29" s="49">
        <f t="shared" si="45"/>
        <v>0</v>
      </c>
      <c r="BL29" s="49">
        <f t="shared" si="45"/>
        <v>0</v>
      </c>
      <c r="BM29" s="49">
        <f t="shared" si="45"/>
        <v>0</v>
      </c>
      <c r="BN29" s="49">
        <f t="shared" si="45"/>
        <v>0</v>
      </c>
      <c r="BO29" s="49">
        <f t="shared" si="45"/>
        <v>0</v>
      </c>
      <c r="BP29" s="49">
        <f t="shared" si="45"/>
        <v>0</v>
      </c>
      <c r="BQ29" s="49">
        <f t="shared" si="45"/>
        <v>0</v>
      </c>
      <c r="BR29" s="44">
        <f>SUBTOTAL(9,BR27:BR28)</f>
        <v>310</v>
      </c>
    </row>
    <row r="30" spans="1:125">
      <c r="A30" s="192">
        <f>+A27+1</f>
        <v>43289</v>
      </c>
      <c r="B30" s="32" t="s">
        <v>43</v>
      </c>
      <c r="C30" s="33"/>
      <c r="D30" s="34"/>
      <c r="E30" s="34"/>
      <c r="F30" s="171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f t="shared" ref="AK30" si="46">(C30-AF30-AJ30)/1.12</f>
        <v>0</v>
      </c>
      <c r="AL30" s="33">
        <f t="shared" ref="AL30:AL31" si="47">AK30-SUM(Y30:AC30)</f>
        <v>0</v>
      </c>
      <c r="AM30" s="33">
        <f t="shared" ref="AM30:AM31" si="48">+AL30*0.12</f>
        <v>0</v>
      </c>
      <c r="AN30" s="33">
        <f t="shared" ref="AN30:AN31" si="49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" thickBot="1">
      <c r="A31" s="193"/>
      <c r="B31" s="15" t="s">
        <v>44</v>
      </c>
      <c r="C31" s="33" t="s">
        <v>154</v>
      </c>
      <c r="D31" s="34"/>
      <c r="E31" s="34"/>
      <c r="F31" s="171"/>
      <c r="G31" s="33">
        <f>IF(E31-D31&lt;0,E31-D31,0)*-1</f>
        <v>0</v>
      </c>
      <c r="H31" s="33">
        <f>IF(E31-D31&gt;0,E31-D31,0)</f>
        <v>0</v>
      </c>
      <c r="I31" s="34"/>
      <c r="J31" s="34"/>
      <c r="K31" s="34"/>
      <c r="L31" s="34"/>
      <c r="M31" s="36">
        <f>(+K31)*M$5</f>
        <v>0</v>
      </c>
      <c r="N31" s="36">
        <f>(+K31)*N$5</f>
        <v>0</v>
      </c>
      <c r="O31" s="36">
        <f>+K31-M31-N31+P31</f>
        <v>0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/>
      <c r="AG31" s="33">
        <f>(AF31*0.8)*0.85</f>
        <v>0</v>
      </c>
      <c r="AH31" s="33">
        <f>(AF31*0.8)*0.15</f>
        <v>0</v>
      </c>
      <c r="AI31" s="33">
        <f>AF31*0.2</f>
        <v>0</v>
      </c>
      <c r="AJ31" s="34">
        <v>0</v>
      </c>
      <c r="AK31" s="33">
        <v>0</v>
      </c>
      <c r="AL31" s="33">
        <f t="shared" si="47"/>
        <v>0</v>
      </c>
      <c r="AM31" s="33">
        <f t="shared" si="48"/>
        <v>0</v>
      </c>
      <c r="AN31" s="33">
        <f t="shared" si="49"/>
        <v>0</v>
      </c>
      <c r="AO31" s="39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0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" thickBot="1">
      <c r="A32" s="42"/>
      <c r="B32" s="43"/>
      <c r="C32" s="44">
        <f>SUBTOTAL(9,C30:C31)</f>
        <v>0</v>
      </c>
      <c r="D32" s="45">
        <f>SUBTOTAL(9,D30:D31)</f>
        <v>0</v>
      </c>
      <c r="E32" s="45">
        <f>SUBTOTAL(9,E30:E31)</f>
        <v>0</v>
      </c>
      <c r="F32" s="172"/>
      <c r="G32" s="45">
        <f t="shared" ref="G32:P32" si="50">SUBTOTAL(9,G30:G31)</f>
        <v>0</v>
      </c>
      <c r="H32" s="45">
        <f t="shared" si="50"/>
        <v>0</v>
      </c>
      <c r="I32" s="45">
        <f t="shared" si="50"/>
        <v>0</v>
      </c>
      <c r="J32" s="45">
        <f t="shared" si="50"/>
        <v>0</v>
      </c>
      <c r="K32" s="162">
        <f t="shared" si="50"/>
        <v>0</v>
      </c>
      <c r="L32" s="45">
        <f t="shared" si="50"/>
        <v>0</v>
      </c>
      <c r="M32" s="46">
        <f t="shared" si="50"/>
        <v>0</v>
      </c>
      <c r="N32" s="46">
        <f t="shared" si="50"/>
        <v>0</v>
      </c>
      <c r="O32" s="46">
        <f t="shared" si="50"/>
        <v>0</v>
      </c>
      <c r="P32" s="46">
        <f t="shared" si="50"/>
        <v>0</v>
      </c>
      <c r="Q32" s="47"/>
      <c r="R32" s="45">
        <f t="shared" ref="R32:BQ32" si="51">SUBTOTAL(9,R30:R31)</f>
        <v>0</v>
      </c>
      <c r="S32" s="45">
        <f t="shared" si="51"/>
        <v>0</v>
      </c>
      <c r="T32" s="46">
        <f t="shared" si="51"/>
        <v>0</v>
      </c>
      <c r="U32" s="46">
        <f t="shared" si="51"/>
        <v>0</v>
      </c>
      <c r="V32" s="46">
        <f t="shared" si="51"/>
        <v>0</v>
      </c>
      <c r="W32" s="46">
        <f t="shared" si="51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1"/>
        <v>0</v>
      </c>
      <c r="AH32" s="44">
        <f t="shared" si="51"/>
        <v>0</v>
      </c>
      <c r="AI32" s="44">
        <f t="shared" si="51"/>
        <v>0</v>
      </c>
      <c r="AJ32" s="45">
        <f t="shared" si="51"/>
        <v>0</v>
      </c>
      <c r="AK32" s="44">
        <f t="shared" si="51"/>
        <v>0</v>
      </c>
      <c r="AL32" s="44">
        <f t="shared" si="51"/>
        <v>0</v>
      </c>
      <c r="AM32" s="44">
        <f t="shared" si="51"/>
        <v>0</v>
      </c>
      <c r="AN32" s="44">
        <f t="shared" si="20"/>
        <v>0</v>
      </c>
      <c r="AO32" s="49">
        <f t="shared" si="51"/>
        <v>0</v>
      </c>
      <c r="AP32" s="49">
        <f t="shared" si="51"/>
        <v>0</v>
      </c>
      <c r="AQ32" s="49">
        <f t="shared" si="51"/>
        <v>0</v>
      </c>
      <c r="AR32" s="49">
        <f t="shared" si="51"/>
        <v>0</v>
      </c>
      <c r="AS32" s="49">
        <f t="shared" si="51"/>
        <v>0</v>
      </c>
      <c r="AT32" s="49">
        <f t="shared" si="51"/>
        <v>0</v>
      </c>
      <c r="AU32" s="49">
        <f>SUBTOTAL(9,AU30:AU31)</f>
        <v>0</v>
      </c>
      <c r="AV32" s="49">
        <f t="shared" si="51"/>
        <v>0</v>
      </c>
      <c r="AW32" s="49">
        <f t="shared" si="51"/>
        <v>0</v>
      </c>
      <c r="AX32" s="49">
        <f t="shared" si="51"/>
        <v>0</v>
      </c>
      <c r="AY32" s="49">
        <f t="shared" si="51"/>
        <v>0</v>
      </c>
      <c r="AZ32" s="44">
        <f t="shared" si="51"/>
        <v>0</v>
      </c>
      <c r="BA32" s="48">
        <f t="shared" si="51"/>
        <v>0</v>
      </c>
      <c r="BB32" s="48">
        <f t="shared" si="51"/>
        <v>0</v>
      </c>
      <c r="BC32" s="44">
        <f t="shared" si="51"/>
        <v>0</v>
      </c>
      <c r="BD32" s="44">
        <f t="shared" si="51"/>
        <v>0</v>
      </c>
      <c r="BE32" s="49">
        <f t="shared" si="51"/>
        <v>0</v>
      </c>
      <c r="BF32" s="49">
        <f>SUBTOTAL(9,BF30:BF31)</f>
        <v>0</v>
      </c>
      <c r="BG32" s="49">
        <f t="shared" si="51"/>
        <v>0</v>
      </c>
      <c r="BH32" s="49">
        <f t="shared" si="51"/>
        <v>0</v>
      </c>
      <c r="BI32" s="49">
        <f t="shared" si="51"/>
        <v>0</v>
      </c>
      <c r="BJ32" s="49">
        <f t="shared" si="51"/>
        <v>0</v>
      </c>
      <c r="BK32" s="49">
        <f t="shared" si="51"/>
        <v>0</v>
      </c>
      <c r="BL32" s="49">
        <f t="shared" si="51"/>
        <v>0</v>
      </c>
      <c r="BM32" s="49">
        <f t="shared" si="51"/>
        <v>0</v>
      </c>
      <c r="BN32" s="49">
        <f t="shared" si="51"/>
        <v>0</v>
      </c>
      <c r="BO32" s="49">
        <f t="shared" si="51"/>
        <v>0</v>
      </c>
      <c r="BP32" s="49">
        <f t="shared" si="51"/>
        <v>0</v>
      </c>
      <c r="BQ32" s="49">
        <f t="shared" si="51"/>
        <v>0</v>
      </c>
      <c r="BR32" s="44">
        <f>SUBTOTAL(9,BR30:BR31)</f>
        <v>0</v>
      </c>
    </row>
    <row r="33" spans="1:125">
      <c r="A33" s="192">
        <f>+A30+1</f>
        <v>43290</v>
      </c>
      <c r="B33" s="32" t="s">
        <v>43</v>
      </c>
      <c r="C33" s="33">
        <v>30469.62</v>
      </c>
      <c r="D33" s="34">
        <v>13411.11</v>
      </c>
      <c r="E33" s="34">
        <v>13412</v>
      </c>
      <c r="F33" s="171">
        <v>43290</v>
      </c>
      <c r="G33" s="33">
        <f>IF(E33-D33&lt;0,E33-D33,0)*-1</f>
        <v>0</v>
      </c>
      <c r="H33" s="33">
        <f>IF(E33-D33&gt;0,E33-D33,0)</f>
        <v>0.88999999999941792</v>
      </c>
      <c r="I33" s="34"/>
      <c r="J33" s="34"/>
      <c r="K33" s="34">
        <v>7724.51</v>
      </c>
      <c r="L33" s="34"/>
      <c r="M33" s="36">
        <f>(+K33)*M$5</f>
        <v>166.076965</v>
      </c>
      <c r="N33" s="36">
        <f>(+K33)*N$5</f>
        <v>38.622550000000004</v>
      </c>
      <c r="O33" s="36">
        <f>+K33-M33-N33+P33</f>
        <v>7519.810485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71.5</v>
      </c>
      <c r="AA33" s="34"/>
      <c r="AB33" s="34"/>
      <c r="AC33" s="34">
        <v>262.5</v>
      </c>
      <c r="AD33" s="38"/>
      <c r="AE33" s="38"/>
      <c r="AF33" s="34">
        <v>2412.2600000000002</v>
      </c>
      <c r="AG33" s="33">
        <f>(AF33*0.8)*0.85</f>
        <v>1640.3368</v>
      </c>
      <c r="AH33" s="33">
        <f>(AF33*0.8)*0.15</f>
        <v>289.47120000000001</v>
      </c>
      <c r="AI33" s="33">
        <f>AF33*0.2</f>
        <v>482.45200000000006</v>
      </c>
      <c r="AJ33" s="34"/>
      <c r="AK33" s="33">
        <f>(C33-AF33-AJ33)/1.12</f>
        <v>25051.214285714283</v>
      </c>
      <c r="AL33" s="33">
        <f>AK33-SUM(Y33:AC33)</f>
        <v>24717.214285714283</v>
      </c>
      <c r="AM33" s="33">
        <f>+AL33*0.12</f>
        <v>2966.065714285714</v>
      </c>
      <c r="AN33" s="33">
        <f>+AM33+AL33+AJ33</f>
        <v>27683.279999999995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" thickBot="1">
      <c r="A34" s="193"/>
      <c r="B34" s="15" t="s">
        <v>44</v>
      </c>
      <c r="C34" s="33">
        <v>7915.27</v>
      </c>
      <c r="D34" s="34">
        <v>7420.18</v>
      </c>
      <c r="E34" s="34">
        <v>7421</v>
      </c>
      <c r="F34" s="171">
        <v>43291</v>
      </c>
      <c r="G34" s="33">
        <f>IF(E34-D34&lt;0,E34-D34,0)*-1</f>
        <v>0</v>
      </c>
      <c r="H34" s="33">
        <f>IF(E34-D34&gt;0,E34-D34,0)</f>
        <v>0.81999999999970896</v>
      </c>
      <c r="I34" s="34"/>
      <c r="J34" s="34"/>
      <c r="K34" s="34">
        <v>462.95</v>
      </c>
      <c r="L34" s="34"/>
      <c r="M34" s="36">
        <f>(+K34)*M$5</f>
        <v>9.9534249999999993</v>
      </c>
      <c r="N34" s="36">
        <f>(+K34)*N$5</f>
        <v>2.3147500000000001</v>
      </c>
      <c r="O34" s="36">
        <f>+K34-M34-N34+P34</f>
        <v>450.681825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>
        <v>32.14</v>
      </c>
      <c r="AD34" s="38"/>
      <c r="AE34" s="38"/>
      <c r="AF34" s="34">
        <v>599.55999999999995</v>
      </c>
      <c r="AG34" s="33">
        <f>(AF34*0.8)*0.85</f>
        <v>407.70079999999996</v>
      </c>
      <c r="AH34" s="33">
        <f>(AF34*0.8)*0.15</f>
        <v>71.947199999999995</v>
      </c>
      <c r="AI34" s="33">
        <f>AF34*0.2</f>
        <v>119.91199999999999</v>
      </c>
      <c r="AJ34" s="34">
        <v>0</v>
      </c>
      <c r="AK34" s="33">
        <f>(C34-AF34-AJ34)/1.12</f>
        <v>6531.8839285714284</v>
      </c>
      <c r="AL34" s="33">
        <f>AK34-SUM(Y34:AC34)</f>
        <v>6499.7439285714281</v>
      </c>
      <c r="AM34" s="33">
        <f>+AL34*0.12</f>
        <v>779.96927142857135</v>
      </c>
      <c r="AN34" s="33">
        <f>+AM34+AL34+AJ34</f>
        <v>7279.7131999999992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" thickBot="1">
      <c r="A35" s="42"/>
      <c r="B35" s="43"/>
      <c r="C35" s="44">
        <f t="shared" ref="C35:Y35" si="52">SUBTOTAL(9,C33:C34)</f>
        <v>38384.89</v>
      </c>
      <c r="D35" s="162">
        <f t="shared" si="52"/>
        <v>20831.29</v>
      </c>
      <c r="E35" s="162">
        <f t="shared" si="52"/>
        <v>20833</v>
      </c>
      <c r="F35" s="174"/>
      <c r="G35" s="44">
        <f t="shared" si="52"/>
        <v>0</v>
      </c>
      <c r="H35" s="44">
        <f t="shared" si="52"/>
        <v>1.7099999999991269</v>
      </c>
      <c r="I35" s="162">
        <f t="shared" si="52"/>
        <v>0</v>
      </c>
      <c r="J35" s="162">
        <f t="shared" si="52"/>
        <v>0</v>
      </c>
      <c r="K35" s="162">
        <f t="shared" si="52"/>
        <v>8187.46</v>
      </c>
      <c r="L35" s="162">
        <f t="shared" si="52"/>
        <v>0</v>
      </c>
      <c r="M35" s="44">
        <f t="shared" si="52"/>
        <v>176.03039000000001</v>
      </c>
      <c r="N35" s="44">
        <f t="shared" si="52"/>
        <v>40.937300000000008</v>
      </c>
      <c r="O35" s="44">
        <f t="shared" si="52"/>
        <v>7970.4923099999996</v>
      </c>
      <c r="P35" s="44">
        <f t="shared" si="52"/>
        <v>0</v>
      </c>
      <c r="Q35" s="162">
        <f t="shared" si="52"/>
        <v>0</v>
      </c>
      <c r="R35" s="162">
        <f t="shared" si="52"/>
        <v>0</v>
      </c>
      <c r="S35" s="162">
        <f t="shared" si="52"/>
        <v>0</v>
      </c>
      <c r="T35" s="44">
        <f t="shared" si="52"/>
        <v>0</v>
      </c>
      <c r="U35" s="44">
        <f t="shared" si="52"/>
        <v>0</v>
      </c>
      <c r="V35" s="44">
        <f t="shared" si="52"/>
        <v>0</v>
      </c>
      <c r="W35" s="44">
        <f t="shared" si="52"/>
        <v>0</v>
      </c>
      <c r="X35" s="162">
        <f t="shared" si="52"/>
        <v>0</v>
      </c>
      <c r="Y35" s="162">
        <f t="shared" si="52"/>
        <v>0</v>
      </c>
      <c r="Z35" s="162"/>
      <c r="AA35" s="162"/>
      <c r="AB35" s="162"/>
      <c r="AC35" s="162"/>
      <c r="AD35" s="48"/>
      <c r="AE35" s="48"/>
      <c r="AF35" s="45"/>
      <c r="AG35" s="44">
        <f t="shared" ref="AG35:BQ35" si="53">SUBTOTAL(9,AG33:AG34)</f>
        <v>2048.0376000000001</v>
      </c>
      <c r="AH35" s="44">
        <f t="shared" si="53"/>
        <v>361.41840000000002</v>
      </c>
      <c r="AI35" s="44">
        <f t="shared" si="53"/>
        <v>602.36400000000003</v>
      </c>
      <c r="AJ35" s="45">
        <f t="shared" si="53"/>
        <v>0</v>
      </c>
      <c r="AK35" s="44">
        <f t="shared" si="53"/>
        <v>31583.09821428571</v>
      </c>
      <c r="AL35" s="44">
        <f t="shared" si="53"/>
        <v>31216.958214285711</v>
      </c>
      <c r="AM35" s="44">
        <f t="shared" si="53"/>
        <v>3746.0349857142855</v>
      </c>
      <c r="AN35" s="44">
        <f t="shared" si="20"/>
        <v>34962.993199999997</v>
      </c>
      <c r="AO35" s="49">
        <f t="shared" si="53"/>
        <v>0</v>
      </c>
      <c r="AP35" s="49">
        <f t="shared" si="53"/>
        <v>0</v>
      </c>
      <c r="AQ35" s="49">
        <f t="shared" si="53"/>
        <v>0</v>
      </c>
      <c r="AR35" s="49">
        <f t="shared" si="53"/>
        <v>0</v>
      </c>
      <c r="AS35" s="49">
        <f t="shared" si="53"/>
        <v>0</v>
      </c>
      <c r="AT35" s="49">
        <f t="shared" si="53"/>
        <v>0</v>
      </c>
      <c r="AU35" s="49">
        <f>SUBTOTAL(9,AU33:AU34)</f>
        <v>0</v>
      </c>
      <c r="AV35" s="49">
        <f t="shared" si="53"/>
        <v>0</v>
      </c>
      <c r="AW35" s="49">
        <f t="shared" si="53"/>
        <v>0</v>
      </c>
      <c r="AX35" s="49">
        <f t="shared" si="53"/>
        <v>0</v>
      </c>
      <c r="AY35" s="49">
        <f t="shared" si="53"/>
        <v>0</v>
      </c>
      <c r="AZ35" s="44">
        <f t="shared" si="53"/>
        <v>0</v>
      </c>
      <c r="BA35" s="48">
        <f t="shared" si="53"/>
        <v>0</v>
      </c>
      <c r="BB35" s="48">
        <f t="shared" si="53"/>
        <v>0</v>
      </c>
      <c r="BC35" s="44">
        <f t="shared" si="53"/>
        <v>0</v>
      </c>
      <c r="BD35" s="44">
        <f t="shared" si="53"/>
        <v>0</v>
      </c>
      <c r="BE35" s="49">
        <f t="shared" si="53"/>
        <v>0</v>
      </c>
      <c r="BF35" s="49">
        <f>SUBTOTAL(9,BF33:BF34)</f>
        <v>0</v>
      </c>
      <c r="BG35" s="49">
        <f t="shared" si="53"/>
        <v>0</v>
      </c>
      <c r="BH35" s="49">
        <f t="shared" si="53"/>
        <v>0</v>
      </c>
      <c r="BI35" s="49">
        <f t="shared" si="53"/>
        <v>0</v>
      </c>
      <c r="BJ35" s="49">
        <f t="shared" si="53"/>
        <v>0</v>
      </c>
      <c r="BK35" s="49">
        <f t="shared" si="53"/>
        <v>0</v>
      </c>
      <c r="BL35" s="49">
        <f t="shared" si="53"/>
        <v>0</v>
      </c>
      <c r="BM35" s="49">
        <f t="shared" si="53"/>
        <v>0</v>
      </c>
      <c r="BN35" s="49">
        <f t="shared" si="53"/>
        <v>0</v>
      </c>
      <c r="BO35" s="49">
        <f t="shared" si="53"/>
        <v>0</v>
      </c>
      <c r="BP35" s="49">
        <f t="shared" si="53"/>
        <v>0</v>
      </c>
      <c r="BQ35" s="49">
        <f t="shared" si="53"/>
        <v>0</v>
      </c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192">
        <f>+A33+1</f>
        <v>43291</v>
      </c>
      <c r="B36" s="15" t="s">
        <v>43</v>
      </c>
      <c r="C36" s="33">
        <v>17019.669999999998</v>
      </c>
      <c r="D36" s="34">
        <v>10350.6</v>
      </c>
      <c r="E36" s="34">
        <v>10358</v>
      </c>
      <c r="F36" s="171">
        <v>43291</v>
      </c>
      <c r="G36" s="33">
        <f>IF(E36-D36&lt;0,E36-D36,0)*-1</f>
        <v>0</v>
      </c>
      <c r="H36" s="33">
        <f>IF(E36-D36&gt;0,E36-D36,0)</f>
        <v>7.3999999999996362</v>
      </c>
      <c r="I36" s="34"/>
      <c r="J36" s="34"/>
      <c r="K36" s="34">
        <v>6485.59</v>
      </c>
      <c r="L36" s="34"/>
      <c r="M36" s="36">
        <f>(+K36)*M$5</f>
        <v>139.44018499999999</v>
      </c>
      <c r="N36" s="36">
        <f>(+K36)*N$5</f>
        <v>32.427950000000003</v>
      </c>
      <c r="O36" s="36">
        <f>+K36-M36-N36+P36</f>
        <v>6313.7218649999995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>
        <v>183.48</v>
      </c>
      <c r="AD36" s="38"/>
      <c r="AE36" s="38"/>
      <c r="AF36" s="34">
        <v>1281.76</v>
      </c>
      <c r="AG36" s="33">
        <f>(AF36*0.8)*0.85</f>
        <v>871.59680000000003</v>
      </c>
      <c r="AH36" s="33">
        <f>(AF36*0.8)*0.15</f>
        <v>153.81120000000001</v>
      </c>
      <c r="AI36" s="33">
        <f>AF36*0.2</f>
        <v>256.35200000000003</v>
      </c>
      <c r="AJ36" s="34">
        <v>0</v>
      </c>
      <c r="AK36" s="33">
        <f>(C36-AF36-AJ36)/1.12</f>
        <v>14051.705357142853</v>
      </c>
      <c r="AL36" s="33">
        <f>AK36-SUM(Y36:AC36)</f>
        <v>13868.225357142854</v>
      </c>
      <c r="AM36" s="33">
        <f>+AL36*0.12</f>
        <v>1664.1870428571424</v>
      </c>
      <c r="AN36" s="33">
        <f>+AM36+AL36+AJ36</f>
        <v>15532.412399999996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" thickBot="1">
      <c r="A37" s="193"/>
      <c r="B37" s="15" t="s">
        <v>44</v>
      </c>
      <c r="C37" s="33">
        <v>11882.95</v>
      </c>
      <c r="D37" s="34">
        <v>9646.93</v>
      </c>
      <c r="E37" s="34">
        <v>9646</v>
      </c>
      <c r="F37" s="171">
        <v>43292</v>
      </c>
      <c r="G37" s="33">
        <f>IF(E37-D37&lt;0,E37-D37,0)*-1</f>
        <v>0.93000000000029104</v>
      </c>
      <c r="H37" s="33">
        <f>IF(E37-D37&gt;0,E37-D37,0)</f>
        <v>0</v>
      </c>
      <c r="I37" s="34"/>
      <c r="J37" s="34"/>
      <c r="K37" s="34">
        <v>2162.23</v>
      </c>
      <c r="L37" s="34"/>
      <c r="M37" s="36">
        <f>(+K37)*M$5</f>
        <v>46.487944999999996</v>
      </c>
      <c r="N37" s="36">
        <f>(+K37)*N$5</f>
        <v>10.81115</v>
      </c>
      <c r="O37" s="36">
        <f>+K37-M37-N37+P37</f>
        <v>2104.9309050000002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47</v>
      </c>
      <c r="AA37" s="34"/>
      <c r="AB37" s="34"/>
      <c r="AC37" s="34">
        <v>26.79</v>
      </c>
      <c r="AD37" s="38"/>
      <c r="AE37" s="38"/>
      <c r="AF37" s="34">
        <v>969.02</v>
      </c>
      <c r="AG37" s="33">
        <f>(AF37*0.8)*0.85</f>
        <v>658.93359999999996</v>
      </c>
      <c r="AH37" s="33">
        <f>(AF37*0.8)*0.15</f>
        <v>116.2824</v>
      </c>
      <c r="AI37" s="33">
        <f>AF37*0.2</f>
        <v>193.804</v>
      </c>
      <c r="AJ37" s="34"/>
      <c r="AK37" s="33">
        <f>(C37-AF37-AJ37)/1.12</f>
        <v>9744.5803571428569</v>
      </c>
      <c r="AL37" s="33">
        <f>AK37-SUM(Y37:AC37)</f>
        <v>9670.790357142856</v>
      </c>
      <c r="AM37" s="33">
        <f>+AL37*0.12</f>
        <v>1160.4948428571427</v>
      </c>
      <c r="AN37" s="33">
        <f>+AM37+AL37+AJ37</f>
        <v>10831.285199999998</v>
      </c>
      <c r="AO37" s="39"/>
      <c r="AP37" s="40"/>
      <c r="AQ37" s="40"/>
      <c r="AR37" s="40">
        <v>265</v>
      </c>
      <c r="AS37" s="40"/>
      <c r="AT37" s="40"/>
      <c r="AU37" s="40"/>
      <c r="AV37" s="40"/>
      <c r="AW37" s="40"/>
      <c r="AX37" s="40"/>
      <c r="AY37" s="40"/>
      <c r="AZ37" s="33">
        <f>SUM(AO37:AY37)</f>
        <v>265</v>
      </c>
      <c r="BA37" s="38">
        <v>135</v>
      </c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400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" thickBot="1">
      <c r="A38" s="42"/>
      <c r="B38" s="43"/>
      <c r="C38" s="44">
        <f>SUBTOTAL(9,C36:C37)</f>
        <v>28902.62</v>
      </c>
      <c r="D38" s="45">
        <f>SUBTOTAL(9,D36:D37)</f>
        <v>19997.53</v>
      </c>
      <c r="E38" s="45">
        <f>SUBTOTAL(9,E36:E37)</f>
        <v>20004</v>
      </c>
      <c r="F38" s="172"/>
      <c r="G38" s="45">
        <f t="shared" ref="G38:P38" si="54">SUBTOTAL(9,G36:G37)</f>
        <v>0.93000000000029104</v>
      </c>
      <c r="H38" s="45">
        <f t="shared" si="54"/>
        <v>7.3999999999996362</v>
      </c>
      <c r="I38" s="162">
        <f t="shared" si="54"/>
        <v>0</v>
      </c>
      <c r="J38" s="162">
        <f t="shared" si="54"/>
        <v>0</v>
      </c>
      <c r="K38" s="162">
        <f t="shared" si="54"/>
        <v>8647.82</v>
      </c>
      <c r="L38" s="162">
        <f t="shared" si="54"/>
        <v>0</v>
      </c>
      <c r="M38" s="46">
        <f t="shared" si="54"/>
        <v>185.92812999999998</v>
      </c>
      <c r="N38" s="46">
        <f t="shared" si="54"/>
        <v>43.239100000000001</v>
      </c>
      <c r="O38" s="46">
        <f t="shared" si="54"/>
        <v>8418.6527700000006</v>
      </c>
      <c r="P38" s="46">
        <f t="shared" si="54"/>
        <v>0</v>
      </c>
      <c r="Q38" s="47"/>
      <c r="R38" s="45">
        <f t="shared" ref="R38:BQ38" si="55">SUBTOTAL(9,R36:R37)</f>
        <v>0</v>
      </c>
      <c r="S38" s="45">
        <f t="shared" si="55"/>
        <v>0</v>
      </c>
      <c r="T38" s="46">
        <f t="shared" si="55"/>
        <v>0</v>
      </c>
      <c r="U38" s="46">
        <f t="shared" si="55"/>
        <v>0</v>
      </c>
      <c r="V38" s="46">
        <f t="shared" si="55"/>
        <v>0</v>
      </c>
      <c r="W38" s="46">
        <f t="shared" si="55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55"/>
        <v>1530.5304000000001</v>
      </c>
      <c r="AH38" s="44">
        <f t="shared" si="55"/>
        <v>270.09360000000004</v>
      </c>
      <c r="AI38" s="44">
        <f t="shared" si="55"/>
        <v>450.15600000000006</v>
      </c>
      <c r="AJ38" s="45">
        <f t="shared" si="55"/>
        <v>0</v>
      </c>
      <c r="AK38" s="44">
        <f t="shared" si="55"/>
        <v>23796.28571428571</v>
      </c>
      <c r="AL38" s="44">
        <f t="shared" si="55"/>
        <v>23539.01571428571</v>
      </c>
      <c r="AM38" s="44">
        <f t="shared" si="55"/>
        <v>2824.6818857142853</v>
      </c>
      <c r="AN38" s="44">
        <f t="shared" si="20"/>
        <v>26363.697599999996</v>
      </c>
      <c r="AO38" s="49">
        <f t="shared" si="55"/>
        <v>0</v>
      </c>
      <c r="AP38" s="49">
        <f t="shared" si="55"/>
        <v>0</v>
      </c>
      <c r="AQ38" s="49">
        <f t="shared" si="55"/>
        <v>0</v>
      </c>
      <c r="AR38" s="49">
        <f t="shared" si="55"/>
        <v>265</v>
      </c>
      <c r="AS38" s="49">
        <f t="shared" si="55"/>
        <v>0</v>
      </c>
      <c r="AT38" s="49">
        <f t="shared" si="55"/>
        <v>0</v>
      </c>
      <c r="AU38" s="49">
        <f>SUBTOTAL(9,AU36:AU37)</f>
        <v>0</v>
      </c>
      <c r="AV38" s="49">
        <f t="shared" si="55"/>
        <v>0</v>
      </c>
      <c r="AW38" s="49">
        <f t="shared" si="55"/>
        <v>0</v>
      </c>
      <c r="AX38" s="49">
        <f t="shared" si="55"/>
        <v>0</v>
      </c>
      <c r="AY38" s="49">
        <f t="shared" si="55"/>
        <v>0</v>
      </c>
      <c r="AZ38" s="44">
        <f t="shared" si="55"/>
        <v>265</v>
      </c>
      <c r="BA38" s="48">
        <f t="shared" si="55"/>
        <v>135</v>
      </c>
      <c r="BB38" s="48">
        <f t="shared" si="55"/>
        <v>0</v>
      </c>
      <c r="BC38" s="44">
        <f t="shared" si="55"/>
        <v>0</v>
      </c>
      <c r="BD38" s="44">
        <f t="shared" si="55"/>
        <v>0</v>
      </c>
      <c r="BE38" s="49">
        <f t="shared" si="55"/>
        <v>0</v>
      </c>
      <c r="BF38" s="49">
        <f>SUBTOTAL(9,BF36:BF37)</f>
        <v>0</v>
      </c>
      <c r="BG38" s="49">
        <f t="shared" si="55"/>
        <v>0</v>
      </c>
      <c r="BH38" s="49">
        <f t="shared" si="55"/>
        <v>0</v>
      </c>
      <c r="BI38" s="49">
        <f t="shared" si="55"/>
        <v>0</v>
      </c>
      <c r="BJ38" s="49">
        <f t="shared" si="55"/>
        <v>0</v>
      </c>
      <c r="BK38" s="49">
        <f t="shared" si="55"/>
        <v>0</v>
      </c>
      <c r="BL38" s="49">
        <f t="shared" si="55"/>
        <v>0</v>
      </c>
      <c r="BM38" s="49">
        <f t="shared" si="55"/>
        <v>0</v>
      </c>
      <c r="BN38" s="49">
        <f t="shared" si="55"/>
        <v>0</v>
      </c>
      <c r="BO38" s="49">
        <f t="shared" si="55"/>
        <v>0</v>
      </c>
      <c r="BP38" s="49">
        <f t="shared" si="55"/>
        <v>0</v>
      </c>
      <c r="BQ38" s="49">
        <f t="shared" si="55"/>
        <v>0</v>
      </c>
      <c r="BR38" s="44">
        <f>SUBTOTAL(9,BR36:BR37)</f>
        <v>400</v>
      </c>
    </row>
    <row r="39" spans="1:125">
      <c r="A39" s="192">
        <f>+A36+1</f>
        <v>43292</v>
      </c>
      <c r="B39" s="16" t="s">
        <v>43</v>
      </c>
      <c r="C39" s="33">
        <v>18611.490000000002</v>
      </c>
      <c r="D39" s="34">
        <v>10875.06</v>
      </c>
      <c r="E39" s="34">
        <v>10875</v>
      </c>
      <c r="F39" s="171">
        <v>43292</v>
      </c>
      <c r="G39" s="33">
        <f>IF(E39-D39&lt;0,E39-D39,0)*-1</f>
        <v>5.9999999999490683E-2</v>
      </c>
      <c r="H39" s="33">
        <f>IF(E39-D39&gt;0,E39-D39,0)</f>
        <v>0</v>
      </c>
      <c r="I39" s="34"/>
      <c r="J39" s="34"/>
      <c r="K39" s="34">
        <v>7614.11</v>
      </c>
      <c r="L39" s="34"/>
      <c r="M39" s="36">
        <f>(+K39)*M$5</f>
        <v>163.70336499999999</v>
      </c>
      <c r="N39" s="36">
        <f>(+K39)*N$5</f>
        <v>38.070549999999997</v>
      </c>
      <c r="O39" s="36">
        <f>+K39-M39-N39+P39</f>
        <v>7412.336084999999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>
        <v>122.32</v>
      </c>
      <c r="AD39" s="38"/>
      <c r="AE39" s="38"/>
      <c r="AF39" s="34">
        <v>1291.8900000000001</v>
      </c>
      <c r="AG39" s="33">
        <f>(AF39*0.8)*0.85</f>
        <v>878.48520000000008</v>
      </c>
      <c r="AH39" s="33">
        <f>(AF39*0.8)*0.15</f>
        <v>155.02680000000001</v>
      </c>
      <c r="AI39" s="33">
        <f>AF39*0.2</f>
        <v>258.37800000000004</v>
      </c>
      <c r="AJ39" s="34"/>
      <c r="AK39" s="33">
        <f t="shared" ref="AK39:AK40" si="56">(C39-AF39-AJ39)/1.12</f>
        <v>15463.928571428572</v>
      </c>
      <c r="AL39" s="33">
        <f t="shared" ref="AL39:AL40" si="57">AK39-SUM(Y39:AC39)</f>
        <v>15341.608571428573</v>
      </c>
      <c r="AM39" s="33">
        <f t="shared" ref="AM39:AM40" si="58">+AL39*0.12</f>
        <v>1840.9930285714286</v>
      </c>
      <c r="AN39" s="33">
        <f t="shared" si="20"/>
        <v>17182.601600000002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" thickBot="1">
      <c r="A40" s="193"/>
      <c r="B40" s="16" t="s">
        <v>44</v>
      </c>
      <c r="C40" s="33">
        <v>37473.769999999997</v>
      </c>
      <c r="D40" s="34">
        <v>26617.56</v>
      </c>
      <c r="E40" s="34">
        <v>26618</v>
      </c>
      <c r="F40" s="171">
        <v>43293</v>
      </c>
      <c r="G40" s="33">
        <f>IF(E40-D40&lt;0,E40-D40,0)*-1</f>
        <v>0</v>
      </c>
      <c r="H40" s="33">
        <f>IF(E40-D40&gt;0,E40-D40,0)</f>
        <v>0.43999999999869033</v>
      </c>
      <c r="I40" s="34"/>
      <c r="J40" s="34"/>
      <c r="K40" s="34">
        <v>10677.46</v>
      </c>
      <c r="L40" s="34"/>
      <c r="M40" s="36">
        <f>(+K40)*M$5</f>
        <v>229.56538999999995</v>
      </c>
      <c r="N40" s="36">
        <f>(+K40)*N$5</f>
        <v>53.387299999999996</v>
      </c>
      <c r="O40" s="36">
        <f>+K40-M40-N40+P40</f>
        <v>10394.507309999999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178.75</v>
      </c>
      <c r="AA40" s="34"/>
      <c r="AB40" s="34"/>
      <c r="AC40" s="34"/>
      <c r="AD40" s="38"/>
      <c r="AE40" s="38"/>
      <c r="AF40" s="34">
        <v>2848.77</v>
      </c>
      <c r="AG40" s="33">
        <f>(AF40*0.8)*0.85</f>
        <v>1937.1636000000001</v>
      </c>
      <c r="AH40" s="33">
        <f>(AF40*0.8)*0.15</f>
        <v>341.85239999999999</v>
      </c>
      <c r="AI40" s="33">
        <f>AF40*0.2</f>
        <v>569.75400000000002</v>
      </c>
      <c r="AJ40" s="34"/>
      <c r="AK40" s="33">
        <f t="shared" si="56"/>
        <v>30915.178571428569</v>
      </c>
      <c r="AL40" s="33">
        <f t="shared" si="57"/>
        <v>30736.428571428569</v>
      </c>
      <c r="AM40" s="33">
        <f t="shared" si="58"/>
        <v>3688.3714285714282</v>
      </c>
      <c r="AN40" s="33">
        <f t="shared" si="20"/>
        <v>34424.799999999996</v>
      </c>
      <c r="AO40" s="39"/>
      <c r="AP40" s="40"/>
      <c r="AQ40" s="40"/>
      <c r="AR40" s="40">
        <v>480</v>
      </c>
      <c r="AS40" s="40"/>
      <c r="AT40" s="40"/>
      <c r="AU40" s="40"/>
      <c r="AV40" s="40"/>
      <c r="AW40" s="40"/>
      <c r="AX40" s="40"/>
      <c r="AY40" s="40"/>
      <c r="AZ40" s="33">
        <f>SUM(AO40:AY40)</f>
        <v>480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480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" thickBot="1">
      <c r="A41" s="42"/>
      <c r="B41" s="43"/>
      <c r="C41" s="44">
        <f>SUBTOTAL(9,C39:C40)</f>
        <v>56085.259999999995</v>
      </c>
      <c r="D41" s="45">
        <f>SUBTOTAL(9,D39:D40)</f>
        <v>37492.620000000003</v>
      </c>
      <c r="E41" s="45">
        <f>SUBTOTAL(9,E39:E40)</f>
        <v>37493</v>
      </c>
      <c r="F41" s="172"/>
      <c r="G41" s="45">
        <f t="shared" ref="G41:P41" si="59">SUBTOTAL(9,G39:G40)</f>
        <v>5.9999999999490683E-2</v>
      </c>
      <c r="H41" s="45">
        <f t="shared" si="59"/>
        <v>0.43999999999869033</v>
      </c>
      <c r="I41" s="162">
        <f t="shared" si="59"/>
        <v>0</v>
      </c>
      <c r="J41" s="162">
        <f t="shared" si="59"/>
        <v>0</v>
      </c>
      <c r="K41" s="162">
        <f t="shared" si="59"/>
        <v>18291.57</v>
      </c>
      <c r="L41" s="162">
        <f t="shared" si="59"/>
        <v>0</v>
      </c>
      <c r="M41" s="46">
        <f t="shared" si="59"/>
        <v>393.26875499999994</v>
      </c>
      <c r="N41" s="46">
        <f t="shared" si="59"/>
        <v>91.457849999999993</v>
      </c>
      <c r="O41" s="46">
        <f t="shared" si="59"/>
        <v>17806.843394999996</v>
      </c>
      <c r="P41" s="46">
        <f t="shared" si="59"/>
        <v>0</v>
      </c>
      <c r="Q41" s="47"/>
      <c r="R41" s="45">
        <f t="shared" ref="R41:BQ41" si="60">SUBTOTAL(9,R39:R40)</f>
        <v>0</v>
      </c>
      <c r="S41" s="45">
        <f t="shared" si="60"/>
        <v>0</v>
      </c>
      <c r="T41" s="46">
        <f t="shared" si="60"/>
        <v>0</v>
      </c>
      <c r="U41" s="46">
        <f t="shared" si="60"/>
        <v>0</v>
      </c>
      <c r="V41" s="46">
        <f t="shared" si="60"/>
        <v>0</v>
      </c>
      <c r="W41" s="46">
        <f t="shared" si="60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0"/>
        <v>2815.6487999999999</v>
      </c>
      <c r="AH41" s="44">
        <f t="shared" si="60"/>
        <v>496.87919999999997</v>
      </c>
      <c r="AI41" s="44">
        <f t="shared" si="60"/>
        <v>828.13200000000006</v>
      </c>
      <c r="AJ41" s="45">
        <f t="shared" si="60"/>
        <v>0</v>
      </c>
      <c r="AK41" s="44">
        <f t="shared" si="60"/>
        <v>46379.107142857145</v>
      </c>
      <c r="AL41" s="44">
        <f t="shared" si="60"/>
        <v>46078.037142857138</v>
      </c>
      <c r="AM41" s="44">
        <f t="shared" si="60"/>
        <v>5529.3644571428567</v>
      </c>
      <c r="AN41" s="44">
        <f t="shared" si="20"/>
        <v>51607.401599999997</v>
      </c>
      <c r="AO41" s="49">
        <f t="shared" si="60"/>
        <v>0</v>
      </c>
      <c r="AP41" s="49">
        <f t="shared" si="60"/>
        <v>0</v>
      </c>
      <c r="AQ41" s="49">
        <f t="shared" si="60"/>
        <v>0</v>
      </c>
      <c r="AR41" s="49">
        <f t="shared" si="60"/>
        <v>480</v>
      </c>
      <c r="AS41" s="49">
        <f t="shared" si="60"/>
        <v>0</v>
      </c>
      <c r="AT41" s="49">
        <f t="shared" si="60"/>
        <v>0</v>
      </c>
      <c r="AU41" s="49">
        <f>SUBTOTAL(9,AU39:AU40)</f>
        <v>0</v>
      </c>
      <c r="AV41" s="49">
        <f t="shared" si="60"/>
        <v>0</v>
      </c>
      <c r="AW41" s="49">
        <f t="shared" si="60"/>
        <v>0</v>
      </c>
      <c r="AX41" s="49">
        <f t="shared" si="60"/>
        <v>0</v>
      </c>
      <c r="AY41" s="49">
        <f t="shared" si="60"/>
        <v>0</v>
      </c>
      <c r="AZ41" s="44">
        <f t="shared" si="60"/>
        <v>480</v>
      </c>
      <c r="BA41" s="48">
        <f t="shared" si="60"/>
        <v>0</v>
      </c>
      <c r="BB41" s="48">
        <f t="shared" si="60"/>
        <v>0</v>
      </c>
      <c r="BC41" s="44">
        <f t="shared" si="60"/>
        <v>0</v>
      </c>
      <c r="BD41" s="44">
        <f t="shared" si="60"/>
        <v>0</v>
      </c>
      <c r="BE41" s="49">
        <f t="shared" si="60"/>
        <v>0</v>
      </c>
      <c r="BF41" s="49">
        <f>SUBTOTAL(9,BF39:BF40)</f>
        <v>0</v>
      </c>
      <c r="BG41" s="49">
        <f t="shared" si="60"/>
        <v>0</v>
      </c>
      <c r="BH41" s="49">
        <f t="shared" si="60"/>
        <v>0</v>
      </c>
      <c r="BI41" s="49">
        <f t="shared" si="60"/>
        <v>0</v>
      </c>
      <c r="BJ41" s="49">
        <f t="shared" si="60"/>
        <v>0</v>
      </c>
      <c r="BK41" s="49">
        <f t="shared" si="60"/>
        <v>0</v>
      </c>
      <c r="BL41" s="49">
        <f t="shared" si="60"/>
        <v>0</v>
      </c>
      <c r="BM41" s="49">
        <f t="shared" si="60"/>
        <v>0</v>
      </c>
      <c r="BN41" s="49">
        <f t="shared" si="60"/>
        <v>0</v>
      </c>
      <c r="BO41" s="49">
        <f t="shared" si="60"/>
        <v>0</v>
      </c>
      <c r="BP41" s="49">
        <f t="shared" si="60"/>
        <v>0</v>
      </c>
      <c r="BQ41" s="49">
        <f t="shared" si="60"/>
        <v>0</v>
      </c>
      <c r="BR41" s="44">
        <f>SUBTOTAL(9,BR39:BR40)</f>
        <v>480</v>
      </c>
    </row>
    <row r="42" spans="1:125">
      <c r="A42" s="192">
        <f>+A39+1</f>
        <v>43293</v>
      </c>
      <c r="B42" s="15" t="s">
        <v>43</v>
      </c>
      <c r="C42" s="33">
        <v>18961.04</v>
      </c>
      <c r="D42" s="34">
        <v>14842.15</v>
      </c>
      <c r="E42" s="34">
        <v>14845</v>
      </c>
      <c r="F42" s="171">
        <v>43293</v>
      </c>
      <c r="G42" s="33">
        <f>IF(E42-D42&lt;0,E42-D42,0)*-1</f>
        <v>0</v>
      </c>
      <c r="H42" s="33">
        <f>IF(E42-D42&gt;0,E42-D42,0)</f>
        <v>2.8500000000003638</v>
      </c>
      <c r="I42" s="34"/>
      <c r="J42" s="34"/>
      <c r="K42" s="34">
        <v>3818.21</v>
      </c>
      <c r="L42" s="34"/>
      <c r="M42" s="36">
        <f>(+K42)*M$5</f>
        <v>82.091515000000001</v>
      </c>
      <c r="N42" s="36">
        <f>(+K42)*N$5</f>
        <v>19.091049999999999</v>
      </c>
      <c r="O42" s="36">
        <f>+K42-M42-N42+P42</f>
        <v>3717.027435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>
        <v>300.68</v>
      </c>
      <c r="AD42" s="38"/>
      <c r="AE42" s="38"/>
      <c r="AF42" s="34">
        <v>1276.45</v>
      </c>
      <c r="AG42" s="33">
        <f>(AF42*0.8)*0.85</f>
        <v>867.9860000000001</v>
      </c>
      <c r="AH42" s="33">
        <f>(AF42*0.8)*0.15</f>
        <v>153.17400000000001</v>
      </c>
      <c r="AI42" s="33">
        <f>AF42*0.2</f>
        <v>255.29000000000002</v>
      </c>
      <c r="AJ42" s="34"/>
      <c r="AK42" s="33">
        <f t="shared" ref="AK42:AK43" si="61">(C42-AF42-AJ42)/1.12</f>
        <v>15789.812499999998</v>
      </c>
      <c r="AL42" s="33">
        <f t="shared" ref="AL42:AL43" si="62">AK42-SUM(Y42:AC42)</f>
        <v>15489.132499999998</v>
      </c>
      <c r="AM42" s="33">
        <f t="shared" ref="AM42:AM43" si="63">+AL42*0.12</f>
        <v>1858.6958999999997</v>
      </c>
      <c r="AN42" s="33">
        <f t="shared" ref="AN42:AN43" si="64">+AM42+AL42+AJ42</f>
        <v>17347.828399999999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" thickBot="1">
      <c r="A43" s="193"/>
      <c r="B43" s="15" t="s">
        <v>44</v>
      </c>
      <c r="C43" s="33">
        <v>24773.279999999999</v>
      </c>
      <c r="D43" s="34">
        <v>11331.41</v>
      </c>
      <c r="E43" s="34">
        <v>11332</v>
      </c>
      <c r="F43" s="171">
        <v>43294</v>
      </c>
      <c r="G43" s="33">
        <f>IF(E43-D43&lt;0,E43-D43,0)*-1</f>
        <v>0</v>
      </c>
      <c r="H43" s="33">
        <f>IF(E43-D43&gt;0,E43-D43,0)</f>
        <v>0.59000000000014552</v>
      </c>
      <c r="I43" s="34"/>
      <c r="J43" s="34"/>
      <c r="K43" s="34">
        <v>13441.87</v>
      </c>
      <c r="L43" s="34"/>
      <c r="M43" s="36">
        <f>(+K43)*M$5</f>
        <v>289.00020499999999</v>
      </c>
      <c r="N43" s="36">
        <f>(+K43)*N$5</f>
        <v>67.209350000000001</v>
      </c>
      <c r="O43" s="36">
        <f>+K43-M43-N43+P43</f>
        <v>13085.660445000001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>
        <v>1950.28</v>
      </c>
      <c r="AG43" s="33">
        <f>(AF43*0.8)*0.85</f>
        <v>1326.1904000000002</v>
      </c>
      <c r="AH43" s="33">
        <f>(AF43*0.8)*0.15</f>
        <v>234.03360000000001</v>
      </c>
      <c r="AI43" s="33">
        <f>AF43*0.2</f>
        <v>390.05600000000004</v>
      </c>
      <c r="AJ43" s="34"/>
      <c r="AK43" s="33">
        <f t="shared" si="61"/>
        <v>20377.678571428569</v>
      </c>
      <c r="AL43" s="33">
        <f t="shared" si="62"/>
        <v>20377.678571428569</v>
      </c>
      <c r="AM43" s="33">
        <f t="shared" si="63"/>
        <v>2445.321428571428</v>
      </c>
      <c r="AN43" s="33">
        <f t="shared" si="64"/>
        <v>22822.999999999996</v>
      </c>
      <c r="AO43" s="39">
        <v>255</v>
      </c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255</v>
      </c>
      <c r="BA43" s="38">
        <v>245</v>
      </c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500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" thickBot="1">
      <c r="A44" s="42"/>
      <c r="B44" s="43"/>
      <c r="C44" s="44">
        <f>SUBTOTAL(9,C42:C43)</f>
        <v>43734.32</v>
      </c>
      <c r="D44" s="45">
        <f>SUBTOTAL(9,D42:D43)</f>
        <v>26173.559999999998</v>
      </c>
      <c r="E44" s="45">
        <f>SUBTOTAL(9,E42:E43)</f>
        <v>26177</v>
      </c>
      <c r="F44" s="172"/>
      <c r="G44" s="45">
        <f t="shared" ref="G44:P44" si="65">SUBTOTAL(9,G42:G43)</f>
        <v>0</v>
      </c>
      <c r="H44" s="45">
        <f t="shared" si="65"/>
        <v>3.4400000000005093</v>
      </c>
      <c r="I44" s="162">
        <f t="shared" si="65"/>
        <v>0</v>
      </c>
      <c r="J44" s="162">
        <f t="shared" si="65"/>
        <v>0</v>
      </c>
      <c r="K44" s="162">
        <f t="shared" si="65"/>
        <v>17260.080000000002</v>
      </c>
      <c r="L44" s="162">
        <f t="shared" si="65"/>
        <v>0</v>
      </c>
      <c r="M44" s="46">
        <f t="shared" si="65"/>
        <v>371.09172000000001</v>
      </c>
      <c r="N44" s="46">
        <f t="shared" si="65"/>
        <v>86.300399999999996</v>
      </c>
      <c r="O44" s="46">
        <f t="shared" si="65"/>
        <v>16802.687880000001</v>
      </c>
      <c r="P44" s="46">
        <f t="shared" si="65"/>
        <v>0</v>
      </c>
      <c r="Q44" s="47"/>
      <c r="R44" s="45">
        <f t="shared" ref="R44:BQ44" si="66">SUBTOTAL(9,R42:R43)</f>
        <v>0</v>
      </c>
      <c r="S44" s="45">
        <f t="shared" si="66"/>
        <v>0</v>
      </c>
      <c r="T44" s="46">
        <f t="shared" si="66"/>
        <v>0</v>
      </c>
      <c r="U44" s="46">
        <f t="shared" si="66"/>
        <v>0</v>
      </c>
      <c r="V44" s="46">
        <f t="shared" si="66"/>
        <v>0</v>
      </c>
      <c r="W44" s="46">
        <f t="shared" si="66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66"/>
        <v>2194.1764000000003</v>
      </c>
      <c r="AH44" s="44">
        <f t="shared" si="66"/>
        <v>387.20760000000001</v>
      </c>
      <c r="AI44" s="44">
        <f t="shared" si="66"/>
        <v>645.346</v>
      </c>
      <c r="AJ44" s="45">
        <f t="shared" si="66"/>
        <v>0</v>
      </c>
      <c r="AK44" s="44">
        <f t="shared" si="66"/>
        <v>36167.491071428565</v>
      </c>
      <c r="AL44" s="44">
        <f t="shared" si="66"/>
        <v>35866.811071428565</v>
      </c>
      <c r="AM44" s="44">
        <f t="shared" si="66"/>
        <v>4304.0173285714282</v>
      </c>
      <c r="AN44" s="44">
        <f t="shared" ref="AN44:AN76" si="67">+AM44+AL44+AJ44</f>
        <v>40170.828399999991</v>
      </c>
      <c r="AO44" s="49">
        <f t="shared" si="66"/>
        <v>255</v>
      </c>
      <c r="AP44" s="49">
        <f t="shared" si="66"/>
        <v>0</v>
      </c>
      <c r="AQ44" s="49">
        <f t="shared" si="66"/>
        <v>0</v>
      </c>
      <c r="AR44" s="49">
        <f t="shared" si="66"/>
        <v>0</v>
      </c>
      <c r="AS44" s="49">
        <f t="shared" si="66"/>
        <v>0</v>
      </c>
      <c r="AT44" s="49">
        <f t="shared" si="66"/>
        <v>0</v>
      </c>
      <c r="AU44" s="49">
        <f>SUBTOTAL(9,AU42:AU43)</f>
        <v>0</v>
      </c>
      <c r="AV44" s="49">
        <f t="shared" si="66"/>
        <v>0</v>
      </c>
      <c r="AW44" s="49">
        <f t="shared" si="66"/>
        <v>0</v>
      </c>
      <c r="AX44" s="49">
        <f t="shared" si="66"/>
        <v>0</v>
      </c>
      <c r="AY44" s="49">
        <f t="shared" si="66"/>
        <v>0</v>
      </c>
      <c r="AZ44" s="44">
        <f t="shared" si="66"/>
        <v>255</v>
      </c>
      <c r="BA44" s="48">
        <f t="shared" si="66"/>
        <v>245</v>
      </c>
      <c r="BB44" s="48">
        <f t="shared" si="66"/>
        <v>0</v>
      </c>
      <c r="BC44" s="44">
        <f t="shared" si="66"/>
        <v>0</v>
      </c>
      <c r="BD44" s="44">
        <f t="shared" si="66"/>
        <v>0</v>
      </c>
      <c r="BE44" s="49">
        <f t="shared" si="66"/>
        <v>0</v>
      </c>
      <c r="BF44" s="49">
        <f>SUBTOTAL(9,BF42:BF43)</f>
        <v>0</v>
      </c>
      <c r="BG44" s="49">
        <f t="shared" si="66"/>
        <v>0</v>
      </c>
      <c r="BH44" s="49">
        <f t="shared" si="66"/>
        <v>0</v>
      </c>
      <c r="BI44" s="49">
        <f t="shared" si="66"/>
        <v>0</v>
      </c>
      <c r="BJ44" s="49">
        <f t="shared" si="66"/>
        <v>0</v>
      </c>
      <c r="BK44" s="49">
        <f t="shared" si="66"/>
        <v>0</v>
      </c>
      <c r="BL44" s="49">
        <f t="shared" si="66"/>
        <v>0</v>
      </c>
      <c r="BM44" s="49">
        <f t="shared" si="66"/>
        <v>0</v>
      </c>
      <c r="BN44" s="49">
        <f t="shared" si="66"/>
        <v>0</v>
      </c>
      <c r="BO44" s="49">
        <f t="shared" si="66"/>
        <v>0</v>
      </c>
      <c r="BP44" s="49">
        <f t="shared" si="66"/>
        <v>0</v>
      </c>
      <c r="BQ44" s="49">
        <f t="shared" si="66"/>
        <v>0</v>
      </c>
      <c r="BR44" s="44">
        <f>SUBTOTAL(9,BR42:BR43)</f>
        <v>500</v>
      </c>
    </row>
    <row r="45" spans="1:125">
      <c r="A45" s="192">
        <f>+A42+1</f>
        <v>43294</v>
      </c>
      <c r="B45" s="15" t="s">
        <v>43</v>
      </c>
      <c r="C45" s="33">
        <v>24590.03</v>
      </c>
      <c r="D45" s="34">
        <v>16785.8</v>
      </c>
      <c r="E45" s="34">
        <v>16790</v>
      </c>
      <c r="F45" s="171">
        <v>43294</v>
      </c>
      <c r="G45" s="33">
        <v>0</v>
      </c>
      <c r="H45" s="33">
        <f>IF(E45-D45&gt;0,E45-D45,0)</f>
        <v>4.2000000000007276</v>
      </c>
      <c r="I45" s="34"/>
      <c r="J45" s="34"/>
      <c r="K45" s="34">
        <v>7430.24</v>
      </c>
      <c r="L45" s="34"/>
      <c r="M45" s="36">
        <f>(+K45)*M$5</f>
        <v>159.75015999999999</v>
      </c>
      <c r="N45" s="36">
        <f>(+K45)*N$5</f>
        <v>37.151200000000003</v>
      </c>
      <c r="O45" s="36">
        <f>+K45-M45-N45+P45</f>
        <v>7233.3386399999999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>
        <v>221.74</v>
      </c>
      <c r="AD45" s="38"/>
      <c r="AE45" s="38"/>
      <c r="AF45" s="34">
        <v>1742.07</v>
      </c>
      <c r="AG45" s="33">
        <f>(AF45*0.8)*0.85</f>
        <v>1184.6075999999998</v>
      </c>
      <c r="AH45" s="33">
        <f>(AF45*0.8)*0.15</f>
        <v>209.04839999999999</v>
      </c>
      <c r="AI45" s="33">
        <f>AF45*0.2</f>
        <v>348.41399999999999</v>
      </c>
      <c r="AJ45" s="34"/>
      <c r="AK45" s="33">
        <f t="shared" ref="AK45:AK46" si="68">(C45-AF45-AJ45)/1.12</f>
        <v>20399.964285714283</v>
      </c>
      <c r="AL45" s="33">
        <f t="shared" ref="AL45:AL46" si="69">AK45-SUM(Y45:AC45)</f>
        <v>20178.224285714281</v>
      </c>
      <c r="AM45" s="33">
        <f t="shared" ref="AM45:AM46" si="70">+AL45*0.12</f>
        <v>2421.3869142857138</v>
      </c>
      <c r="AN45" s="33">
        <f t="shared" si="67"/>
        <v>22599.611199999996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" thickBot="1">
      <c r="A46" s="193"/>
      <c r="B46" s="15" t="s">
        <v>44</v>
      </c>
      <c r="C46" s="33">
        <v>18320.54</v>
      </c>
      <c r="D46" s="34">
        <v>16866.34</v>
      </c>
      <c r="E46" s="34">
        <v>16867</v>
      </c>
      <c r="F46" s="171">
        <v>43297</v>
      </c>
      <c r="G46" s="33">
        <f>IF(E46-D46&lt;0,E46-D46,0)*-1</f>
        <v>0</v>
      </c>
      <c r="H46" s="33">
        <f>IF(E46-D46&gt;0,E46-D46,0)</f>
        <v>0.65999999999985448</v>
      </c>
      <c r="I46" s="34"/>
      <c r="J46" s="34"/>
      <c r="K46" s="34">
        <v>1454.2</v>
      </c>
      <c r="L46" s="34"/>
      <c r="M46" s="36">
        <f>(+K46)*M$5</f>
        <v>31.2653</v>
      </c>
      <c r="N46" s="36">
        <f>(+K46)*N$5</f>
        <v>7.2710000000000008</v>
      </c>
      <c r="O46" s="36">
        <f>+K46-M46-N46+P46</f>
        <v>1415.6637000000001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/>
      <c r="AD46" s="38"/>
      <c r="AE46" s="38"/>
      <c r="AF46" s="34">
        <v>1470.54</v>
      </c>
      <c r="AG46" s="33">
        <f>(AF46*0.8)*0.85</f>
        <v>999.96719999999993</v>
      </c>
      <c r="AH46" s="33">
        <f>(AF46*0.8)*0.15</f>
        <v>176.4648</v>
      </c>
      <c r="AI46" s="33">
        <f>AF46*0.2</f>
        <v>294.108</v>
      </c>
      <c r="AJ46" s="34"/>
      <c r="AK46" s="33">
        <f t="shared" si="68"/>
        <v>15044.642857142855</v>
      </c>
      <c r="AL46" s="33">
        <f t="shared" si="69"/>
        <v>15044.642857142855</v>
      </c>
      <c r="AM46" s="33">
        <f t="shared" si="70"/>
        <v>1805.3571428571424</v>
      </c>
      <c r="AN46" s="33">
        <f t="shared" si="67"/>
        <v>16849.999999999996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" thickBot="1">
      <c r="A47" s="42"/>
      <c r="B47" s="43"/>
      <c r="C47" s="44">
        <f>SUBTOTAL(9,C45:C46)</f>
        <v>42910.57</v>
      </c>
      <c r="D47" s="45">
        <f>SUBTOTAL(9,D45:D46)</f>
        <v>33652.14</v>
      </c>
      <c r="E47" s="45">
        <f>SUBTOTAL(9,E45:E46)</f>
        <v>33657</v>
      </c>
      <c r="F47" s="172"/>
      <c r="G47" s="45">
        <f t="shared" ref="G47:P47" si="71">SUBTOTAL(9,G45:G46)</f>
        <v>0</v>
      </c>
      <c r="H47" s="45">
        <f t="shared" si="71"/>
        <v>4.8600000000005821</v>
      </c>
      <c r="I47" s="162">
        <f t="shared" si="71"/>
        <v>0</v>
      </c>
      <c r="J47" s="162">
        <f t="shared" si="71"/>
        <v>0</v>
      </c>
      <c r="K47" s="162">
        <f t="shared" si="71"/>
        <v>8884.44</v>
      </c>
      <c r="L47" s="162">
        <f t="shared" si="71"/>
        <v>0</v>
      </c>
      <c r="M47" s="46">
        <f t="shared" si="71"/>
        <v>191.01545999999999</v>
      </c>
      <c r="N47" s="46">
        <f t="shared" si="71"/>
        <v>44.422200000000004</v>
      </c>
      <c r="O47" s="46">
        <f t="shared" si="71"/>
        <v>8649.0023399999991</v>
      </c>
      <c r="P47" s="46">
        <f t="shared" si="71"/>
        <v>0</v>
      </c>
      <c r="Q47" s="47"/>
      <c r="R47" s="45">
        <f t="shared" ref="R47:BQ47" si="72">SUBTOTAL(9,R45:R46)</f>
        <v>0</v>
      </c>
      <c r="S47" s="45">
        <f t="shared" si="72"/>
        <v>0</v>
      </c>
      <c r="T47" s="46">
        <f t="shared" si="72"/>
        <v>0</v>
      </c>
      <c r="U47" s="46">
        <f t="shared" si="72"/>
        <v>0</v>
      </c>
      <c r="V47" s="46">
        <f t="shared" si="72"/>
        <v>0</v>
      </c>
      <c r="W47" s="46">
        <f t="shared" si="72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72"/>
        <v>2184.5747999999999</v>
      </c>
      <c r="AH47" s="44">
        <f t="shared" si="72"/>
        <v>385.51319999999998</v>
      </c>
      <c r="AI47" s="44">
        <f t="shared" si="72"/>
        <v>642.52199999999993</v>
      </c>
      <c r="AJ47" s="45">
        <f t="shared" si="72"/>
        <v>0</v>
      </c>
      <c r="AK47" s="44">
        <f t="shared" si="72"/>
        <v>35444.607142857138</v>
      </c>
      <c r="AL47" s="44">
        <f t="shared" si="72"/>
        <v>35222.86714285714</v>
      </c>
      <c r="AM47" s="44">
        <f t="shared" si="72"/>
        <v>4226.744057142856</v>
      </c>
      <c r="AN47" s="44">
        <f t="shared" si="67"/>
        <v>39449.611199999999</v>
      </c>
      <c r="AO47" s="49">
        <f t="shared" si="72"/>
        <v>0</v>
      </c>
      <c r="AP47" s="49">
        <f t="shared" si="72"/>
        <v>0</v>
      </c>
      <c r="AQ47" s="49">
        <f t="shared" si="72"/>
        <v>0</v>
      </c>
      <c r="AR47" s="49">
        <f t="shared" si="72"/>
        <v>0</v>
      </c>
      <c r="AS47" s="49">
        <f t="shared" si="72"/>
        <v>0</v>
      </c>
      <c r="AT47" s="49">
        <f t="shared" si="72"/>
        <v>0</v>
      </c>
      <c r="AU47" s="49">
        <f>SUBTOTAL(9,AU45:AU46)</f>
        <v>0</v>
      </c>
      <c r="AV47" s="49">
        <f t="shared" si="72"/>
        <v>0</v>
      </c>
      <c r="AW47" s="49">
        <f t="shared" si="72"/>
        <v>0</v>
      </c>
      <c r="AX47" s="49">
        <f t="shared" si="72"/>
        <v>0</v>
      </c>
      <c r="AY47" s="49">
        <f t="shared" si="72"/>
        <v>0</v>
      </c>
      <c r="AZ47" s="44">
        <f t="shared" si="72"/>
        <v>0</v>
      </c>
      <c r="BA47" s="48">
        <f t="shared" si="72"/>
        <v>0</v>
      </c>
      <c r="BB47" s="48">
        <f t="shared" si="72"/>
        <v>0</v>
      </c>
      <c r="BC47" s="44">
        <f t="shared" si="72"/>
        <v>0</v>
      </c>
      <c r="BD47" s="44">
        <f t="shared" si="72"/>
        <v>0</v>
      </c>
      <c r="BE47" s="49">
        <f t="shared" si="72"/>
        <v>0</v>
      </c>
      <c r="BF47" s="49">
        <f>SUBTOTAL(9,BF45:BF46)</f>
        <v>0</v>
      </c>
      <c r="BG47" s="49">
        <f t="shared" si="72"/>
        <v>0</v>
      </c>
      <c r="BH47" s="49">
        <f t="shared" si="72"/>
        <v>0</v>
      </c>
      <c r="BI47" s="49">
        <f t="shared" si="72"/>
        <v>0</v>
      </c>
      <c r="BJ47" s="49">
        <f t="shared" si="72"/>
        <v>0</v>
      </c>
      <c r="BK47" s="49">
        <f t="shared" si="72"/>
        <v>0</v>
      </c>
      <c r="BL47" s="49">
        <f t="shared" si="72"/>
        <v>0</v>
      </c>
      <c r="BM47" s="49">
        <f t="shared" si="72"/>
        <v>0</v>
      </c>
      <c r="BN47" s="49">
        <f t="shared" si="72"/>
        <v>0</v>
      </c>
      <c r="BO47" s="49">
        <f t="shared" si="72"/>
        <v>0</v>
      </c>
      <c r="BP47" s="49">
        <f t="shared" si="72"/>
        <v>0</v>
      </c>
      <c r="BQ47" s="49">
        <f t="shared" si="72"/>
        <v>0</v>
      </c>
      <c r="BR47" s="44">
        <f>SUBTOTAL(9,BR45:BR46)</f>
        <v>0</v>
      </c>
    </row>
    <row r="48" spans="1:125">
      <c r="A48" s="192">
        <f>A45+1</f>
        <v>43295</v>
      </c>
      <c r="B48" s="16" t="s">
        <v>43</v>
      </c>
      <c r="C48" s="33"/>
      <c r="D48" s="34"/>
      <c r="E48" s="34"/>
      <c r="F48" s="171"/>
      <c r="G48" s="33">
        <f>IF(E48-D48&lt;0,E48-D48,0)*-1</f>
        <v>0</v>
      </c>
      <c r="H48" s="33">
        <f>IF(E48-D48&gt;0,E48-D48,0)</f>
        <v>0</v>
      </c>
      <c r="I48" s="34"/>
      <c r="J48" s="34">
        <v>0</v>
      </c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f t="shared" ref="AK48" si="73">(C48-AF48-AJ48)/1.12</f>
        <v>0</v>
      </c>
      <c r="AL48" s="33">
        <f t="shared" ref="AL48" si="74">AK48-SUM(Y48:AC48)</f>
        <v>0</v>
      </c>
      <c r="AM48" s="33">
        <f t="shared" ref="AM48" si="75">+AL48*0.12</f>
        <v>0</v>
      </c>
      <c r="AN48" s="33">
        <f t="shared" ref="AN48" si="76">+AM48+AL48+AJ48</f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" thickBot="1">
      <c r="A49" s="193"/>
      <c r="B49" s="16" t="s">
        <v>44</v>
      </c>
      <c r="C49" s="33">
        <v>11070.07</v>
      </c>
      <c r="D49" s="34">
        <v>10259.14</v>
      </c>
      <c r="E49" s="34">
        <v>10257</v>
      </c>
      <c r="F49" s="171">
        <v>43297</v>
      </c>
      <c r="G49" s="33">
        <f>IF(E49-D49&lt;0,E49-D49,0)*-1</f>
        <v>2.1399999999994179</v>
      </c>
      <c r="H49" s="33">
        <f>IF(E49-D49&gt;0,E49-D49,0)</f>
        <v>0</v>
      </c>
      <c r="I49" s="34"/>
      <c r="J49" s="34"/>
      <c r="K49" s="34">
        <v>615.45000000000005</v>
      </c>
      <c r="L49" s="34"/>
      <c r="M49" s="36">
        <f>(+K49)*M$5</f>
        <v>13.232175</v>
      </c>
      <c r="N49" s="36">
        <f>(+K49)*N$5</f>
        <v>3.0772500000000003</v>
      </c>
      <c r="O49" s="36">
        <f>+K49-M49-N49+P49</f>
        <v>599.14057500000001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87.55</v>
      </c>
      <c r="AA49" s="34">
        <v>24</v>
      </c>
      <c r="AB49" s="34"/>
      <c r="AC49" s="34">
        <v>83.93</v>
      </c>
      <c r="AD49" s="38"/>
      <c r="AE49" s="38"/>
      <c r="AF49" s="34">
        <v>859.43</v>
      </c>
      <c r="AG49" s="33">
        <f>(AF49*0.8)*0.85</f>
        <v>584.41239999999993</v>
      </c>
      <c r="AH49" s="33">
        <f>(AF49*0.8)*0.15</f>
        <v>103.13159999999999</v>
      </c>
      <c r="AI49" s="33">
        <f>AF49*0.2</f>
        <v>171.886</v>
      </c>
      <c r="AJ49" s="34"/>
      <c r="AK49" s="33">
        <f>(C49-AF49-AJ49)/1.12</f>
        <v>9116.6428571428551</v>
      </c>
      <c r="AL49" s="33">
        <f>AK49-SUM(Y49:AC49)</f>
        <v>8921.1628571428555</v>
      </c>
      <c r="AM49" s="33">
        <f>+AL49*0.12</f>
        <v>1070.5395428571426</v>
      </c>
      <c r="AN49" s="33">
        <f t="shared" ref="AN49" si="77">+AM49+AL49+AJ49</f>
        <v>9991.7023999999983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v>0</v>
      </c>
      <c r="BD49" s="33">
        <v>0</v>
      </c>
      <c r="BE49" s="39"/>
      <c r="BF49" s="39"/>
      <c r="BG49" s="39">
        <v>155</v>
      </c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" thickBot="1">
      <c r="A50" s="42"/>
      <c r="B50" s="43"/>
      <c r="C50" s="44">
        <f>SUBTOTAL(9,C48:C49)</f>
        <v>11070.07</v>
      </c>
      <c r="D50" s="45">
        <f>SUBTOTAL(9,D48:D49)</f>
        <v>10259.14</v>
      </c>
      <c r="E50" s="45">
        <f>SUBTOTAL(9,E48:E49)</f>
        <v>10257</v>
      </c>
      <c r="F50" s="172"/>
      <c r="G50" s="45">
        <f t="shared" ref="G50:P50" si="78">SUBTOTAL(9,G48:G49)</f>
        <v>2.1399999999994179</v>
      </c>
      <c r="H50" s="45">
        <f t="shared" si="78"/>
        <v>0</v>
      </c>
      <c r="I50" s="162">
        <f t="shared" si="78"/>
        <v>0</v>
      </c>
      <c r="J50" s="162">
        <f t="shared" si="78"/>
        <v>0</v>
      </c>
      <c r="K50" s="162">
        <f t="shared" si="78"/>
        <v>615.45000000000005</v>
      </c>
      <c r="L50" s="162">
        <f t="shared" si="78"/>
        <v>0</v>
      </c>
      <c r="M50" s="46">
        <f t="shared" si="78"/>
        <v>13.232175</v>
      </c>
      <c r="N50" s="46">
        <f t="shared" si="78"/>
        <v>3.0772500000000003</v>
      </c>
      <c r="O50" s="46">
        <f t="shared" si="78"/>
        <v>599.14057500000001</v>
      </c>
      <c r="P50" s="46">
        <f t="shared" si="78"/>
        <v>0</v>
      </c>
      <c r="Q50" s="47"/>
      <c r="R50" s="45">
        <f t="shared" ref="R50:BQ50" si="79">SUBTOTAL(9,R48:R49)</f>
        <v>0</v>
      </c>
      <c r="S50" s="45">
        <f t="shared" si="79"/>
        <v>0</v>
      </c>
      <c r="T50" s="46">
        <f t="shared" si="79"/>
        <v>0</v>
      </c>
      <c r="U50" s="46">
        <f t="shared" si="79"/>
        <v>0</v>
      </c>
      <c r="V50" s="46">
        <f t="shared" si="79"/>
        <v>0</v>
      </c>
      <c r="W50" s="46">
        <f t="shared" si="79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79"/>
        <v>584.41239999999993</v>
      </c>
      <c r="AH50" s="44">
        <f t="shared" si="79"/>
        <v>103.13159999999999</v>
      </c>
      <c r="AI50" s="44">
        <f t="shared" si="79"/>
        <v>171.886</v>
      </c>
      <c r="AJ50" s="45">
        <f t="shared" si="79"/>
        <v>0</v>
      </c>
      <c r="AK50" s="44">
        <f t="shared" si="79"/>
        <v>9116.6428571428551</v>
      </c>
      <c r="AL50" s="44">
        <f t="shared" si="79"/>
        <v>8921.1628571428555</v>
      </c>
      <c r="AM50" s="44">
        <f t="shared" si="79"/>
        <v>1070.5395428571426</v>
      </c>
      <c r="AN50" s="44">
        <f t="shared" si="67"/>
        <v>9991.7023999999983</v>
      </c>
      <c r="AO50" s="49">
        <f t="shared" si="79"/>
        <v>0</v>
      </c>
      <c r="AP50" s="49">
        <f t="shared" si="79"/>
        <v>0</v>
      </c>
      <c r="AQ50" s="49">
        <f t="shared" si="79"/>
        <v>0</v>
      </c>
      <c r="AR50" s="49">
        <f t="shared" si="79"/>
        <v>0</v>
      </c>
      <c r="AS50" s="49">
        <f t="shared" si="79"/>
        <v>0</v>
      </c>
      <c r="AT50" s="49">
        <f t="shared" si="79"/>
        <v>0</v>
      </c>
      <c r="AU50" s="49">
        <f>SUBTOTAL(9,AU48:AU49)</f>
        <v>0</v>
      </c>
      <c r="AV50" s="49">
        <f t="shared" si="79"/>
        <v>0</v>
      </c>
      <c r="AW50" s="49">
        <f t="shared" si="79"/>
        <v>0</v>
      </c>
      <c r="AX50" s="49">
        <f t="shared" si="79"/>
        <v>0</v>
      </c>
      <c r="AY50" s="49">
        <f t="shared" si="79"/>
        <v>0</v>
      </c>
      <c r="AZ50" s="44">
        <f t="shared" si="79"/>
        <v>0</v>
      </c>
      <c r="BA50" s="48">
        <f t="shared" si="79"/>
        <v>0</v>
      </c>
      <c r="BB50" s="48">
        <f t="shared" si="79"/>
        <v>0</v>
      </c>
      <c r="BC50" s="44">
        <f t="shared" si="79"/>
        <v>0</v>
      </c>
      <c r="BD50" s="44">
        <f t="shared" si="79"/>
        <v>0</v>
      </c>
      <c r="BE50" s="49">
        <f t="shared" si="79"/>
        <v>0</v>
      </c>
      <c r="BF50" s="49">
        <f>SUBTOTAL(9,BF48:BF49)</f>
        <v>0</v>
      </c>
      <c r="BG50" s="49">
        <f t="shared" si="79"/>
        <v>155</v>
      </c>
      <c r="BH50" s="49">
        <f t="shared" si="79"/>
        <v>0</v>
      </c>
      <c r="BI50" s="49">
        <f t="shared" si="79"/>
        <v>0</v>
      </c>
      <c r="BJ50" s="49">
        <f t="shared" si="79"/>
        <v>0</v>
      </c>
      <c r="BK50" s="49">
        <f t="shared" si="79"/>
        <v>0</v>
      </c>
      <c r="BL50" s="49">
        <f t="shared" si="79"/>
        <v>0</v>
      </c>
      <c r="BM50" s="49">
        <f t="shared" si="79"/>
        <v>0</v>
      </c>
      <c r="BN50" s="49">
        <f t="shared" si="79"/>
        <v>0</v>
      </c>
      <c r="BO50" s="49">
        <f t="shared" si="79"/>
        <v>0</v>
      </c>
      <c r="BP50" s="49">
        <f t="shared" si="79"/>
        <v>0</v>
      </c>
      <c r="BQ50" s="49">
        <f t="shared" si="79"/>
        <v>0</v>
      </c>
      <c r="BR50" s="44">
        <f>SUBTOTAL(9,BR48:BR49)</f>
        <v>0</v>
      </c>
    </row>
    <row r="51" spans="1:97">
      <c r="A51" s="192">
        <f>+A48+1</f>
        <v>43296</v>
      </c>
      <c r="B51" s="16" t="s">
        <v>43</v>
      </c>
      <c r="C51" s="33"/>
      <c r="D51" s="34"/>
      <c r="E51" s="34"/>
      <c r="F51" s="171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>AK51-SUM(Y51:AC51)</f>
        <v>0</v>
      </c>
      <c r="AM51" s="33">
        <f>+AL51*0.12</f>
        <v>0</v>
      </c>
      <c r="AN51" s="33">
        <f t="shared" si="67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" thickBot="1">
      <c r="A52" s="193"/>
      <c r="B52" s="16" t="s">
        <v>44</v>
      </c>
      <c r="C52" s="33" t="s">
        <v>154</v>
      </c>
      <c r="D52" s="34"/>
      <c r="E52" s="34"/>
      <c r="F52" s="171"/>
      <c r="G52" s="33">
        <f>IF(E52-D52&lt;0,E52-D52,0)*-1</f>
        <v>0</v>
      </c>
      <c r="H52" s="33">
        <f>IF(E52-D52&gt;0,E52-D52,0)</f>
        <v>0</v>
      </c>
      <c r="I52" s="34"/>
      <c r="J52" s="34"/>
      <c r="K52" s="34"/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v>0</v>
      </c>
      <c r="AL52" s="33">
        <f>AK52-SUM(Y52:AC52)</f>
        <v>0</v>
      </c>
      <c r="AM52" s="33">
        <f>+AL52*0.12</f>
        <v>0</v>
      </c>
      <c r="AN52" s="33">
        <f>+AM52+AL52+AJ52</f>
        <v>0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" thickBot="1">
      <c r="A53" s="42"/>
      <c r="B53" s="43"/>
      <c r="C53" s="44">
        <f>SUBTOTAL(9,C51:C52)</f>
        <v>0</v>
      </c>
      <c r="D53" s="45">
        <f>SUBTOTAL(9,D51:D52)</f>
        <v>0</v>
      </c>
      <c r="E53" s="45">
        <f>SUBTOTAL(9,E51:E52)</f>
        <v>0</v>
      </c>
      <c r="F53" s="172"/>
      <c r="G53" s="45">
        <f t="shared" ref="G53:P53" si="80">SUBTOTAL(9,G51:G52)</f>
        <v>0</v>
      </c>
      <c r="H53" s="45">
        <f t="shared" si="80"/>
        <v>0</v>
      </c>
      <c r="I53" s="162">
        <f t="shared" si="80"/>
        <v>0</v>
      </c>
      <c r="J53" s="162">
        <f t="shared" si="80"/>
        <v>0</v>
      </c>
      <c r="K53" s="162">
        <f t="shared" si="80"/>
        <v>0</v>
      </c>
      <c r="L53" s="162">
        <f t="shared" si="80"/>
        <v>0</v>
      </c>
      <c r="M53" s="46">
        <f t="shared" si="80"/>
        <v>0</v>
      </c>
      <c r="N53" s="46">
        <f t="shared" si="80"/>
        <v>0</v>
      </c>
      <c r="O53" s="46">
        <f t="shared" si="80"/>
        <v>0</v>
      </c>
      <c r="P53" s="46">
        <f t="shared" si="80"/>
        <v>0</v>
      </c>
      <c r="Q53" s="47"/>
      <c r="R53" s="45">
        <f t="shared" ref="R53:BQ53" si="81">SUBTOTAL(9,R51:R52)</f>
        <v>0</v>
      </c>
      <c r="S53" s="45">
        <f t="shared" si="81"/>
        <v>0</v>
      </c>
      <c r="T53" s="46">
        <f t="shared" si="81"/>
        <v>0</v>
      </c>
      <c r="U53" s="46">
        <f t="shared" si="81"/>
        <v>0</v>
      </c>
      <c r="V53" s="46">
        <f t="shared" si="81"/>
        <v>0</v>
      </c>
      <c r="W53" s="46">
        <f t="shared" si="81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81"/>
        <v>0</v>
      </c>
      <c r="AH53" s="44">
        <f t="shared" si="81"/>
        <v>0</v>
      </c>
      <c r="AI53" s="44">
        <f t="shared" si="81"/>
        <v>0</v>
      </c>
      <c r="AJ53" s="45">
        <f t="shared" si="81"/>
        <v>0</v>
      </c>
      <c r="AK53" s="44">
        <f t="shared" si="81"/>
        <v>0</v>
      </c>
      <c r="AL53" s="44">
        <f t="shared" si="81"/>
        <v>0</v>
      </c>
      <c r="AM53" s="44">
        <f t="shared" si="81"/>
        <v>0</v>
      </c>
      <c r="AN53" s="44">
        <f t="shared" si="67"/>
        <v>0</v>
      </c>
      <c r="AO53" s="49">
        <f t="shared" si="81"/>
        <v>0</v>
      </c>
      <c r="AP53" s="49">
        <f t="shared" si="81"/>
        <v>0</v>
      </c>
      <c r="AQ53" s="49">
        <f t="shared" si="81"/>
        <v>0</v>
      </c>
      <c r="AR53" s="49">
        <f t="shared" si="81"/>
        <v>0</v>
      </c>
      <c r="AS53" s="49">
        <f t="shared" si="81"/>
        <v>0</v>
      </c>
      <c r="AT53" s="49">
        <f t="shared" si="81"/>
        <v>0</v>
      </c>
      <c r="AU53" s="49">
        <f>SUBTOTAL(9,AU51:AU52)</f>
        <v>0</v>
      </c>
      <c r="AV53" s="49">
        <f t="shared" si="81"/>
        <v>0</v>
      </c>
      <c r="AW53" s="49">
        <f t="shared" si="81"/>
        <v>0</v>
      </c>
      <c r="AX53" s="49">
        <f t="shared" si="81"/>
        <v>0</v>
      </c>
      <c r="AY53" s="49">
        <f t="shared" si="81"/>
        <v>0</v>
      </c>
      <c r="AZ53" s="44">
        <f t="shared" si="81"/>
        <v>0</v>
      </c>
      <c r="BA53" s="48">
        <f t="shared" si="81"/>
        <v>0</v>
      </c>
      <c r="BB53" s="48">
        <f t="shared" si="81"/>
        <v>0</v>
      </c>
      <c r="BC53" s="44">
        <f t="shared" si="81"/>
        <v>0</v>
      </c>
      <c r="BD53" s="44">
        <f t="shared" si="81"/>
        <v>0</v>
      </c>
      <c r="BE53" s="49">
        <f t="shared" si="81"/>
        <v>0</v>
      </c>
      <c r="BF53" s="49">
        <f>SUBTOTAL(9,BF51:BF52)</f>
        <v>0</v>
      </c>
      <c r="BG53" s="49">
        <f t="shared" si="81"/>
        <v>0</v>
      </c>
      <c r="BH53" s="49">
        <f t="shared" si="81"/>
        <v>0</v>
      </c>
      <c r="BI53" s="49">
        <f t="shared" si="81"/>
        <v>0</v>
      </c>
      <c r="BJ53" s="49">
        <f t="shared" si="81"/>
        <v>0</v>
      </c>
      <c r="BK53" s="49">
        <f t="shared" si="81"/>
        <v>0</v>
      </c>
      <c r="BL53" s="49">
        <f t="shared" si="81"/>
        <v>0</v>
      </c>
      <c r="BM53" s="49">
        <f t="shared" si="81"/>
        <v>0</v>
      </c>
      <c r="BN53" s="49">
        <f t="shared" si="81"/>
        <v>0</v>
      </c>
      <c r="BO53" s="49">
        <f t="shared" si="81"/>
        <v>0</v>
      </c>
      <c r="BP53" s="49">
        <f t="shared" si="81"/>
        <v>0</v>
      </c>
      <c r="BQ53" s="49">
        <f t="shared" si="81"/>
        <v>0</v>
      </c>
      <c r="BR53" s="44">
        <f>SUBTOTAL(9,BR51:BR52)</f>
        <v>0</v>
      </c>
    </row>
    <row r="54" spans="1:97">
      <c r="A54" s="192">
        <f>+A51+1</f>
        <v>43297</v>
      </c>
      <c r="B54" s="16" t="s">
        <v>43</v>
      </c>
      <c r="C54" s="33">
        <v>12259.01</v>
      </c>
      <c r="D54" s="34">
        <v>5237.74</v>
      </c>
      <c r="E54" s="34">
        <v>5242</v>
      </c>
      <c r="F54" s="171">
        <v>43297</v>
      </c>
      <c r="G54" s="33">
        <f>IF(E54-D54&lt;0,E54-D54,0)*-1</f>
        <v>0</v>
      </c>
      <c r="H54" s="33">
        <f>IF(E54-D54&gt;0,E54-D54,0)</f>
        <v>4.2600000000002183</v>
      </c>
      <c r="I54" s="34"/>
      <c r="J54" s="34"/>
      <c r="K54" s="34">
        <v>6955.09</v>
      </c>
      <c r="L54" s="34"/>
      <c r="M54" s="36">
        <f>(+K54)*M$5</f>
        <v>149.534435</v>
      </c>
      <c r="N54" s="36">
        <f>(+K54)*N$5</f>
        <v>34.775449999999999</v>
      </c>
      <c r="O54" s="36">
        <f>+K54-M54-N54+P54</f>
        <v>6770.7801150000005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>
        <v>65.180000000000007</v>
      </c>
      <c r="AD54" s="38"/>
      <c r="AE54" s="38"/>
      <c r="AF54" s="34">
        <v>978.12</v>
      </c>
      <c r="AG54" s="33">
        <f>(AF54*0.8)*0.85</f>
        <v>665.12160000000006</v>
      </c>
      <c r="AH54" s="33">
        <f>(AF54*0.8)*0.15</f>
        <v>117.37440000000001</v>
      </c>
      <c r="AI54" s="33">
        <f>AF54*0.2</f>
        <v>195.62400000000002</v>
      </c>
      <c r="AJ54" s="34"/>
      <c r="AK54" s="33">
        <f>(C54-AF54-AJ54)/1.12</f>
        <v>10072.223214285712</v>
      </c>
      <c r="AL54" s="33">
        <f>AK54-SUM(Y54:AC54)</f>
        <v>10007.043214285712</v>
      </c>
      <c r="AM54" s="33">
        <f>+AL54*0.12</f>
        <v>1200.8451857142854</v>
      </c>
      <c r="AN54" s="33">
        <f t="shared" si="67"/>
        <v>11207.888399999996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" thickBot="1">
      <c r="A55" s="193"/>
      <c r="B55" s="16" t="s">
        <v>44</v>
      </c>
      <c r="C55" s="33">
        <v>14383.76</v>
      </c>
      <c r="D55" s="34">
        <v>12167.61</v>
      </c>
      <c r="E55" s="34">
        <v>12170</v>
      </c>
      <c r="F55" s="171">
        <v>43298</v>
      </c>
      <c r="G55" s="33">
        <f>IF(E55-D55&lt;0,E55-D55,0)*-1</f>
        <v>0</v>
      </c>
      <c r="H55" s="33">
        <f>IF(E55-D55&gt;0,E55-D55,0)</f>
        <v>2.3899999999994179</v>
      </c>
      <c r="I55" s="34"/>
      <c r="J55" s="34"/>
      <c r="K55" s="34">
        <v>2184.0100000000002</v>
      </c>
      <c r="L55" s="34"/>
      <c r="M55" s="36">
        <f>(+K55)*M$5</f>
        <v>46.956215</v>
      </c>
      <c r="N55" s="36">
        <f>(+K55)*N$5</f>
        <v>10.920050000000002</v>
      </c>
      <c r="O55" s="36">
        <f>+K55-M55-N55+P55</f>
        <v>2126.1337349999999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>
        <v>32.14</v>
      </c>
      <c r="AD55" s="38"/>
      <c r="AE55" s="38"/>
      <c r="AF55" s="34">
        <v>1092.05</v>
      </c>
      <c r="AG55" s="33">
        <f>(AF55*0.8)*0.85</f>
        <v>742.59399999999994</v>
      </c>
      <c r="AH55" s="33">
        <f>(AF55*0.8)*0.15</f>
        <v>131.04599999999999</v>
      </c>
      <c r="AI55" s="33">
        <f>AF55*0.2</f>
        <v>218.41</v>
      </c>
      <c r="AJ55" s="34"/>
      <c r="AK55" s="33">
        <f>(C55-AF55-AJ55)/1.12</f>
        <v>11867.598214285714</v>
      </c>
      <c r="AL55" s="33">
        <f>AK55-SUM(Y55:AC55)</f>
        <v>11835.458214285714</v>
      </c>
      <c r="AM55" s="33">
        <f>+AL55*0.12</f>
        <v>1420.2549857142856</v>
      </c>
      <c r="AN55" s="33">
        <f t="shared" si="67"/>
        <v>13255.7132</v>
      </c>
      <c r="AO55" s="39"/>
      <c r="AP55" s="40"/>
      <c r="AQ55" s="40">
        <v>385</v>
      </c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385</v>
      </c>
      <c r="BA55" s="38">
        <v>760</v>
      </c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1145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" thickBot="1">
      <c r="A56" s="42"/>
      <c r="B56" s="43"/>
      <c r="C56" s="44">
        <f>SUBTOTAL(9,C54:C55)</f>
        <v>26642.77</v>
      </c>
      <c r="D56" s="45">
        <f>SUBTOTAL(9,D54:D55)</f>
        <v>17405.349999999999</v>
      </c>
      <c r="E56" s="45">
        <f>SUBTOTAL(9,E54:E55)</f>
        <v>17412</v>
      </c>
      <c r="F56" s="172"/>
      <c r="G56" s="45">
        <f t="shared" ref="G56:P56" si="82">SUBTOTAL(9,G54:G55)</f>
        <v>0</v>
      </c>
      <c r="H56" s="45">
        <f t="shared" si="82"/>
        <v>6.6499999999996362</v>
      </c>
      <c r="I56" s="162">
        <f t="shared" si="82"/>
        <v>0</v>
      </c>
      <c r="J56" s="162">
        <f t="shared" si="82"/>
        <v>0</v>
      </c>
      <c r="K56" s="162">
        <f t="shared" si="82"/>
        <v>9139.1</v>
      </c>
      <c r="L56" s="162">
        <f t="shared" si="82"/>
        <v>0</v>
      </c>
      <c r="M56" s="46">
        <f t="shared" si="82"/>
        <v>196.49065000000002</v>
      </c>
      <c r="N56" s="46">
        <f t="shared" si="82"/>
        <v>45.695500000000003</v>
      </c>
      <c r="O56" s="46">
        <f t="shared" si="82"/>
        <v>8896.9138500000008</v>
      </c>
      <c r="P56" s="46">
        <f t="shared" si="82"/>
        <v>0</v>
      </c>
      <c r="Q56" s="47"/>
      <c r="R56" s="45">
        <f t="shared" ref="R56:BQ56" si="83">SUBTOTAL(9,R54:R55)</f>
        <v>0</v>
      </c>
      <c r="S56" s="45">
        <f t="shared" si="83"/>
        <v>0</v>
      </c>
      <c r="T56" s="46">
        <f t="shared" si="83"/>
        <v>0</v>
      </c>
      <c r="U56" s="46">
        <f t="shared" si="83"/>
        <v>0</v>
      </c>
      <c r="V56" s="46">
        <f t="shared" si="83"/>
        <v>0</v>
      </c>
      <c r="W56" s="46">
        <f t="shared" si="83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83"/>
        <v>1407.7156</v>
      </c>
      <c r="AH56" s="44">
        <f t="shared" si="83"/>
        <v>248.4204</v>
      </c>
      <c r="AI56" s="44">
        <f t="shared" si="83"/>
        <v>414.03399999999999</v>
      </c>
      <c r="AJ56" s="45">
        <f t="shared" si="83"/>
        <v>0</v>
      </c>
      <c r="AK56" s="44">
        <f t="shared" si="83"/>
        <v>21939.821428571428</v>
      </c>
      <c r="AL56" s="44">
        <f t="shared" si="83"/>
        <v>21842.501428571428</v>
      </c>
      <c r="AM56" s="44">
        <f t="shared" si="83"/>
        <v>2621.1001714285712</v>
      </c>
      <c r="AN56" s="44">
        <f t="shared" si="67"/>
        <v>24463.601599999998</v>
      </c>
      <c r="AO56" s="49">
        <f t="shared" si="83"/>
        <v>0</v>
      </c>
      <c r="AP56" s="49">
        <f t="shared" si="83"/>
        <v>0</v>
      </c>
      <c r="AQ56" s="49">
        <f t="shared" si="83"/>
        <v>385</v>
      </c>
      <c r="AR56" s="49">
        <f t="shared" si="83"/>
        <v>0</v>
      </c>
      <c r="AS56" s="49">
        <f t="shared" si="83"/>
        <v>0</v>
      </c>
      <c r="AT56" s="49">
        <f t="shared" si="83"/>
        <v>0</v>
      </c>
      <c r="AU56" s="49">
        <f>SUBTOTAL(9,AU54:AU55)</f>
        <v>0</v>
      </c>
      <c r="AV56" s="49">
        <f t="shared" si="83"/>
        <v>0</v>
      </c>
      <c r="AW56" s="49">
        <f t="shared" si="83"/>
        <v>0</v>
      </c>
      <c r="AX56" s="49">
        <f t="shared" si="83"/>
        <v>0</v>
      </c>
      <c r="AY56" s="49">
        <f t="shared" si="83"/>
        <v>0</v>
      </c>
      <c r="AZ56" s="44">
        <f t="shared" si="83"/>
        <v>385</v>
      </c>
      <c r="BA56" s="48">
        <f t="shared" si="83"/>
        <v>760</v>
      </c>
      <c r="BB56" s="48">
        <f t="shared" si="83"/>
        <v>0</v>
      </c>
      <c r="BC56" s="44">
        <f t="shared" si="83"/>
        <v>0</v>
      </c>
      <c r="BD56" s="44">
        <f t="shared" si="83"/>
        <v>0</v>
      </c>
      <c r="BE56" s="49">
        <f t="shared" si="83"/>
        <v>0</v>
      </c>
      <c r="BF56" s="49">
        <f>SUBTOTAL(9,BF54:BF55)</f>
        <v>0</v>
      </c>
      <c r="BG56" s="49">
        <f t="shared" si="83"/>
        <v>0</v>
      </c>
      <c r="BH56" s="49">
        <f t="shared" si="83"/>
        <v>0</v>
      </c>
      <c r="BI56" s="49">
        <f t="shared" si="83"/>
        <v>0</v>
      </c>
      <c r="BJ56" s="49">
        <f t="shared" si="83"/>
        <v>0</v>
      </c>
      <c r="BK56" s="49">
        <f t="shared" si="83"/>
        <v>0</v>
      </c>
      <c r="BL56" s="49">
        <f t="shared" si="83"/>
        <v>0</v>
      </c>
      <c r="BM56" s="49">
        <f t="shared" si="83"/>
        <v>0</v>
      </c>
      <c r="BN56" s="49">
        <f t="shared" si="83"/>
        <v>0</v>
      </c>
      <c r="BO56" s="49">
        <f t="shared" si="83"/>
        <v>0</v>
      </c>
      <c r="BP56" s="49">
        <f t="shared" si="83"/>
        <v>0</v>
      </c>
      <c r="BQ56" s="49">
        <f t="shared" si="83"/>
        <v>0</v>
      </c>
      <c r="BR56" s="44">
        <f>SUBTOTAL(9,BR54:BR55)</f>
        <v>1145</v>
      </c>
    </row>
    <row r="57" spans="1:97">
      <c r="A57" s="192">
        <f>+A54+1</f>
        <v>43298</v>
      </c>
      <c r="B57" s="16" t="s">
        <v>43</v>
      </c>
      <c r="C57" s="33">
        <v>20719.09</v>
      </c>
      <c r="D57" s="34">
        <v>17281.21</v>
      </c>
      <c r="E57" s="34">
        <v>17281.25</v>
      </c>
      <c r="F57" s="171">
        <v>43298</v>
      </c>
      <c r="G57" s="33"/>
      <c r="H57" s="33">
        <f>IF(E57-D57&gt;0,E57-D57,0)</f>
        <v>4.0000000000873115E-2</v>
      </c>
      <c r="I57" s="34"/>
      <c r="J57" s="34"/>
      <c r="K57" s="34">
        <v>3218.84</v>
      </c>
      <c r="L57" s="34"/>
      <c r="M57" s="36">
        <f>(+K57)*M$5</f>
        <v>69.205060000000003</v>
      </c>
      <c r="N57" s="36">
        <f>(+K57)*N$5</f>
        <v>16.094200000000001</v>
      </c>
      <c r="O57" s="36">
        <f>+K57-M57-N57+P57</f>
        <v>3133.5407399999999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>
        <v>219.04</v>
      </c>
      <c r="AD57" s="38"/>
      <c r="AE57" s="38"/>
      <c r="AF57" s="34">
        <v>1179.52</v>
      </c>
      <c r="AG57" s="33">
        <f>(AF57*0.8)*0.85</f>
        <v>802.07359999999994</v>
      </c>
      <c r="AH57" s="33">
        <f>(AF57*0.8)*0.15</f>
        <v>141.54239999999999</v>
      </c>
      <c r="AI57" s="33">
        <f>AF57*0.2</f>
        <v>235.904</v>
      </c>
      <c r="AJ57" s="34"/>
      <c r="AK57" s="33">
        <f>(C57-AF57-AJ57)/1.12</f>
        <v>17446.044642857141</v>
      </c>
      <c r="AL57" s="33">
        <f>AK57-SUM(Y57:AC57)</f>
        <v>17227.00464285714</v>
      </c>
      <c r="AM57" s="33">
        <f>+AL57*0.12</f>
        <v>2067.2405571428567</v>
      </c>
      <c r="AN57" s="33">
        <f t="shared" ref="AN57:AN58" si="84">+AM57+AL57+AJ57</f>
        <v>19294.245199999998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" thickBot="1">
      <c r="A58" s="193"/>
      <c r="B58" s="16" t="s">
        <v>44</v>
      </c>
      <c r="C58" s="169">
        <v>8836.07</v>
      </c>
      <c r="D58" s="34">
        <v>8498.65</v>
      </c>
      <c r="E58" s="34">
        <v>8500</v>
      </c>
      <c r="F58" s="171">
        <v>43299</v>
      </c>
      <c r="G58" s="33"/>
      <c r="H58" s="33">
        <f>IF(E58-D58&gt;0,E58-D58,0)</f>
        <v>1.3500000000003638</v>
      </c>
      <c r="I58" s="34"/>
      <c r="J58" s="34"/>
      <c r="K58" s="34">
        <v>266.88</v>
      </c>
      <c r="L58" s="34"/>
      <c r="M58" s="36">
        <f>(+K58)*M$5</f>
        <v>5.737919999999999</v>
      </c>
      <c r="N58" s="36">
        <f>(+K58)*N$5</f>
        <v>1.3344</v>
      </c>
      <c r="O58" s="36">
        <f>+K58-M58-N58+P58</f>
        <v>259.80768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70.540000000000006</v>
      </c>
      <c r="AD58" s="38"/>
      <c r="AE58" s="38"/>
      <c r="AF58" s="34">
        <v>613.39</v>
      </c>
      <c r="AG58" s="33">
        <f>(AF58*0.8)*0.85</f>
        <v>417.10519999999997</v>
      </c>
      <c r="AH58" s="33">
        <f>(AF58*0.8)*0.15</f>
        <v>73.606799999999993</v>
      </c>
      <c r="AI58" s="33">
        <f>AF58*0.2</f>
        <v>122.678</v>
      </c>
      <c r="AJ58" s="34"/>
      <c r="AK58" s="33">
        <f>(C58-AF58-AJ58)/1.12</f>
        <v>7341.6785714285706</v>
      </c>
      <c r="AL58" s="33">
        <f>AK58-SUM(Y58:AC58)</f>
        <v>7271.1385714285707</v>
      </c>
      <c r="AM58" s="33">
        <f>+AL58*0.12</f>
        <v>872.53662857142842</v>
      </c>
      <c r="AN58" s="33">
        <f t="shared" si="84"/>
        <v>8143.6751999999988</v>
      </c>
      <c r="AO58" s="39">
        <v>185</v>
      </c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185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185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" thickBot="1">
      <c r="A59" s="42"/>
      <c r="B59" s="43"/>
      <c r="C59" s="44">
        <f>SUBTOTAL(9,C57:C58)</f>
        <v>29555.16</v>
      </c>
      <c r="D59" s="45">
        <f>SUBTOTAL(9,D57:D58)</f>
        <v>25779.86</v>
      </c>
      <c r="E59" s="45">
        <f>SUBTOTAL(9,E57:E58)</f>
        <v>25781.25</v>
      </c>
      <c r="F59" s="172"/>
      <c r="G59" s="45">
        <f t="shared" ref="G59:P59" si="85">SUBTOTAL(9,G57:G58)</f>
        <v>0</v>
      </c>
      <c r="H59" s="45">
        <f t="shared" si="85"/>
        <v>1.3900000000012369</v>
      </c>
      <c r="I59" s="162">
        <f t="shared" si="85"/>
        <v>0</v>
      </c>
      <c r="J59" s="162">
        <f t="shared" si="85"/>
        <v>0</v>
      </c>
      <c r="K59" s="162">
        <f t="shared" si="85"/>
        <v>3485.7200000000003</v>
      </c>
      <c r="L59" s="162">
        <f t="shared" si="85"/>
        <v>0</v>
      </c>
      <c r="M59" s="46">
        <f t="shared" si="85"/>
        <v>74.942980000000006</v>
      </c>
      <c r="N59" s="46">
        <f t="shared" si="85"/>
        <v>17.428599999999999</v>
      </c>
      <c r="O59" s="46">
        <f t="shared" si="85"/>
        <v>3393.3484199999998</v>
      </c>
      <c r="P59" s="46">
        <f t="shared" si="85"/>
        <v>0</v>
      </c>
      <c r="Q59" s="47"/>
      <c r="R59" s="45">
        <f t="shared" ref="R59:BQ59" si="86">SUBTOTAL(9,R57:R58)</f>
        <v>0</v>
      </c>
      <c r="S59" s="45">
        <f t="shared" si="86"/>
        <v>0</v>
      </c>
      <c r="T59" s="46">
        <f t="shared" si="86"/>
        <v>0</v>
      </c>
      <c r="U59" s="46">
        <f t="shared" si="86"/>
        <v>0</v>
      </c>
      <c r="V59" s="46">
        <f t="shared" si="86"/>
        <v>0</v>
      </c>
      <c r="W59" s="46">
        <f t="shared" si="86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86"/>
        <v>1219.1787999999999</v>
      </c>
      <c r="AH59" s="44">
        <f t="shared" si="86"/>
        <v>215.14919999999998</v>
      </c>
      <c r="AI59" s="44">
        <f t="shared" si="86"/>
        <v>358.58199999999999</v>
      </c>
      <c r="AJ59" s="45">
        <f t="shared" si="86"/>
        <v>0</v>
      </c>
      <c r="AK59" s="44">
        <f t="shared" si="86"/>
        <v>24787.72321428571</v>
      </c>
      <c r="AL59" s="44">
        <f t="shared" si="86"/>
        <v>24498.143214285712</v>
      </c>
      <c r="AM59" s="44">
        <f t="shared" si="86"/>
        <v>2939.7771857142852</v>
      </c>
      <c r="AN59" s="44">
        <f t="shared" si="67"/>
        <v>27437.920399999995</v>
      </c>
      <c r="AO59" s="49">
        <f t="shared" si="86"/>
        <v>185</v>
      </c>
      <c r="AP59" s="49">
        <f t="shared" si="86"/>
        <v>0</v>
      </c>
      <c r="AQ59" s="49">
        <f t="shared" si="86"/>
        <v>0</v>
      </c>
      <c r="AR59" s="49">
        <f t="shared" si="86"/>
        <v>0</v>
      </c>
      <c r="AS59" s="49">
        <f t="shared" si="86"/>
        <v>0</v>
      </c>
      <c r="AT59" s="49">
        <f t="shared" si="86"/>
        <v>0</v>
      </c>
      <c r="AU59" s="49">
        <f>SUBTOTAL(9,AU57:AU58)</f>
        <v>0</v>
      </c>
      <c r="AV59" s="49">
        <f t="shared" si="86"/>
        <v>0</v>
      </c>
      <c r="AW59" s="49">
        <f t="shared" si="86"/>
        <v>0</v>
      </c>
      <c r="AX59" s="49">
        <f t="shared" si="86"/>
        <v>0</v>
      </c>
      <c r="AY59" s="49">
        <f t="shared" si="86"/>
        <v>0</v>
      </c>
      <c r="AZ59" s="44">
        <f t="shared" si="86"/>
        <v>185</v>
      </c>
      <c r="BA59" s="48">
        <f t="shared" si="86"/>
        <v>0</v>
      </c>
      <c r="BB59" s="48">
        <f t="shared" si="86"/>
        <v>0</v>
      </c>
      <c r="BC59" s="44">
        <f t="shared" si="86"/>
        <v>0</v>
      </c>
      <c r="BD59" s="44">
        <f t="shared" si="86"/>
        <v>0</v>
      </c>
      <c r="BE59" s="49">
        <f t="shared" si="86"/>
        <v>0</v>
      </c>
      <c r="BF59" s="49">
        <f>SUBTOTAL(9,BF57:BF58)</f>
        <v>0</v>
      </c>
      <c r="BG59" s="49">
        <f t="shared" si="86"/>
        <v>0</v>
      </c>
      <c r="BH59" s="49">
        <f t="shared" si="86"/>
        <v>0</v>
      </c>
      <c r="BI59" s="49">
        <f t="shared" si="86"/>
        <v>0</v>
      </c>
      <c r="BJ59" s="49">
        <f t="shared" si="86"/>
        <v>0</v>
      </c>
      <c r="BK59" s="49">
        <f t="shared" si="86"/>
        <v>0</v>
      </c>
      <c r="BL59" s="49">
        <f t="shared" si="86"/>
        <v>0</v>
      </c>
      <c r="BM59" s="49">
        <f t="shared" si="86"/>
        <v>0</v>
      </c>
      <c r="BN59" s="49">
        <f t="shared" si="86"/>
        <v>0</v>
      </c>
      <c r="BO59" s="49">
        <f t="shared" si="86"/>
        <v>0</v>
      </c>
      <c r="BP59" s="49">
        <f t="shared" si="86"/>
        <v>0</v>
      </c>
      <c r="BQ59" s="49">
        <f t="shared" si="86"/>
        <v>0</v>
      </c>
      <c r="BR59" s="44">
        <f>SUBTOTAL(9,BR57:BR58)</f>
        <v>185</v>
      </c>
    </row>
    <row r="60" spans="1:97">
      <c r="A60" s="192">
        <f>A57+1</f>
        <v>43299</v>
      </c>
      <c r="B60" s="16" t="s">
        <v>43</v>
      </c>
      <c r="C60" s="33">
        <v>11633.77</v>
      </c>
      <c r="D60" s="34">
        <v>4959.82</v>
      </c>
      <c r="E60" s="34">
        <v>4960</v>
      </c>
      <c r="F60" s="171">
        <v>43299</v>
      </c>
      <c r="G60" s="33"/>
      <c r="H60" s="33">
        <f>IF(E60-D60&gt;0,E60-D60,0)</f>
        <v>0.18000000000029104</v>
      </c>
      <c r="I60" s="34"/>
      <c r="J60" s="34"/>
      <c r="K60" s="34">
        <v>6636.2</v>
      </c>
      <c r="L60" s="34"/>
      <c r="M60" s="36">
        <f>(+K60)*M$5</f>
        <v>142.67829999999998</v>
      </c>
      <c r="N60" s="36">
        <f>(+K60)*N$5</f>
        <v>33.180999999999997</v>
      </c>
      <c r="O60" s="36">
        <f>+K60-M60-N60+P60</f>
        <v>6460.3407000000007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37.75</v>
      </c>
      <c r="AA60" s="34"/>
      <c r="AB60" s="34"/>
      <c r="AC60" s="34"/>
      <c r="AD60" s="38"/>
      <c r="AE60" s="38"/>
      <c r="AF60" s="34">
        <v>828.7</v>
      </c>
      <c r="AG60" s="33">
        <f>(AF60*0.8)*0.85</f>
        <v>563.51599999999996</v>
      </c>
      <c r="AH60" s="33">
        <f>(AF60*0.8)*0.15</f>
        <v>99.444000000000003</v>
      </c>
      <c r="AI60" s="33">
        <f>AF60*0.2</f>
        <v>165.74</v>
      </c>
      <c r="AJ60" s="34"/>
      <c r="AK60" s="33">
        <f t="shared" ref="AK60:AK61" si="87">(C60-AF60-AJ60)/1.12</f>
        <v>9647.3839285714275</v>
      </c>
      <c r="AL60" s="33">
        <f t="shared" ref="AL60:AL61" si="88">AK60-SUM(Y60:AC60)</f>
        <v>9609.6339285714275</v>
      </c>
      <c r="AM60" s="33">
        <f t="shared" ref="AM60:AM61" si="89">+AL60*0.12</f>
        <v>1153.1560714285713</v>
      </c>
      <c r="AN60" s="33">
        <f t="shared" si="67"/>
        <v>10762.789999999999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" thickBot="1">
      <c r="A61" s="193"/>
      <c r="B61" s="16" t="s">
        <v>44</v>
      </c>
      <c r="C61" s="33">
        <v>15665.94</v>
      </c>
      <c r="D61" s="34">
        <v>14043.47</v>
      </c>
      <c r="E61" s="34">
        <v>14043</v>
      </c>
      <c r="F61" s="171">
        <v>43300</v>
      </c>
      <c r="G61" s="33"/>
      <c r="H61" s="33">
        <f>IF(E61-D61&gt;0,E61-D61,0)</f>
        <v>0</v>
      </c>
      <c r="I61" s="34"/>
      <c r="J61" s="34"/>
      <c r="K61" s="34">
        <v>1519.55</v>
      </c>
      <c r="L61" s="34"/>
      <c r="M61" s="36">
        <f>(+K61)*M$5</f>
        <v>32.670324999999998</v>
      </c>
      <c r="N61" s="36">
        <f>(+K61)*N$5</f>
        <v>7.5977499999999996</v>
      </c>
      <c r="O61" s="36">
        <f>+K61-M61-N61+P61</f>
        <v>1479.281925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16.75</v>
      </c>
      <c r="AA61" s="34"/>
      <c r="AB61" s="34"/>
      <c r="AC61" s="34">
        <v>86.17</v>
      </c>
      <c r="AD61" s="38"/>
      <c r="AE61" s="38"/>
      <c r="AF61" s="34">
        <v>1197.6300000000001</v>
      </c>
      <c r="AG61" s="33">
        <f>(AF61*0.8)*0.85</f>
        <v>814.38840000000016</v>
      </c>
      <c r="AH61" s="33">
        <f>(AF61*0.8)*0.15</f>
        <v>143.71560000000002</v>
      </c>
      <c r="AI61" s="33">
        <f>AF61*0.2</f>
        <v>239.52600000000004</v>
      </c>
      <c r="AJ61" s="34"/>
      <c r="AK61" s="33">
        <f t="shared" si="87"/>
        <v>12918.133928571429</v>
      </c>
      <c r="AL61" s="33">
        <f t="shared" si="88"/>
        <v>12815.213928571429</v>
      </c>
      <c r="AM61" s="33">
        <f t="shared" si="89"/>
        <v>1537.8256714285715</v>
      </c>
      <c r="AN61" s="33">
        <f t="shared" si="67"/>
        <v>14353.0396</v>
      </c>
      <c r="AO61" s="39"/>
      <c r="AP61" s="40">
        <v>200</v>
      </c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200</v>
      </c>
      <c r="BA61" s="38">
        <v>550</v>
      </c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750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" thickBot="1">
      <c r="A62" s="42"/>
      <c r="B62" s="43"/>
      <c r="C62" s="44">
        <f>SUBTOTAL(9,C60:C61)</f>
        <v>27299.71</v>
      </c>
      <c r="D62" s="45">
        <f>SUBTOTAL(9,D60:D61)</f>
        <v>19003.29</v>
      </c>
      <c r="E62" s="45">
        <f>SUBTOTAL(9,E60:E61)</f>
        <v>19003</v>
      </c>
      <c r="F62" s="172"/>
      <c r="G62" s="45">
        <f t="shared" ref="G62:P62" si="90">SUBTOTAL(9,G60:G61)</f>
        <v>0</v>
      </c>
      <c r="H62" s="45">
        <f t="shared" si="90"/>
        <v>0.18000000000029104</v>
      </c>
      <c r="I62" s="162">
        <f t="shared" si="90"/>
        <v>0</v>
      </c>
      <c r="J62" s="162">
        <f t="shared" si="90"/>
        <v>0</v>
      </c>
      <c r="K62" s="162">
        <f t="shared" si="90"/>
        <v>8155.75</v>
      </c>
      <c r="L62" s="162">
        <f t="shared" si="90"/>
        <v>0</v>
      </c>
      <c r="M62" s="46">
        <f t="shared" si="90"/>
        <v>175.34862499999997</v>
      </c>
      <c r="N62" s="46">
        <f t="shared" si="90"/>
        <v>40.778749999999995</v>
      </c>
      <c r="O62" s="46">
        <f t="shared" si="90"/>
        <v>7939.6226250000009</v>
      </c>
      <c r="P62" s="46">
        <f t="shared" si="90"/>
        <v>0</v>
      </c>
      <c r="Q62" s="47"/>
      <c r="R62" s="45">
        <f t="shared" ref="R62:BQ62" si="91">SUBTOTAL(9,R60:R61)</f>
        <v>0</v>
      </c>
      <c r="S62" s="45">
        <f t="shared" si="91"/>
        <v>0</v>
      </c>
      <c r="T62" s="46">
        <f t="shared" si="91"/>
        <v>0</v>
      </c>
      <c r="U62" s="46">
        <f t="shared" si="91"/>
        <v>0</v>
      </c>
      <c r="V62" s="46">
        <f t="shared" si="91"/>
        <v>0</v>
      </c>
      <c r="W62" s="46">
        <f t="shared" si="91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91"/>
        <v>1377.9044000000001</v>
      </c>
      <c r="AH62" s="44">
        <f t="shared" si="91"/>
        <v>243.15960000000001</v>
      </c>
      <c r="AI62" s="44">
        <f t="shared" si="91"/>
        <v>405.26600000000008</v>
      </c>
      <c r="AJ62" s="45">
        <f t="shared" si="91"/>
        <v>0</v>
      </c>
      <c r="AK62" s="44">
        <f t="shared" si="91"/>
        <v>22565.517857142855</v>
      </c>
      <c r="AL62" s="44">
        <f t="shared" si="91"/>
        <v>22424.847857142857</v>
      </c>
      <c r="AM62" s="44">
        <f t="shared" si="91"/>
        <v>2690.9817428571428</v>
      </c>
      <c r="AN62" s="44">
        <f t="shared" si="67"/>
        <v>25115.829600000001</v>
      </c>
      <c r="AO62" s="49">
        <f t="shared" si="91"/>
        <v>0</v>
      </c>
      <c r="AP62" s="49">
        <f t="shared" si="91"/>
        <v>200</v>
      </c>
      <c r="AQ62" s="49">
        <f t="shared" si="91"/>
        <v>0</v>
      </c>
      <c r="AR62" s="49">
        <f t="shared" si="91"/>
        <v>0</v>
      </c>
      <c r="AS62" s="49">
        <f t="shared" si="91"/>
        <v>0</v>
      </c>
      <c r="AT62" s="49">
        <f t="shared" si="91"/>
        <v>0</v>
      </c>
      <c r="AU62" s="49">
        <f>SUBTOTAL(9,AU60:AU61)</f>
        <v>0</v>
      </c>
      <c r="AV62" s="49">
        <f t="shared" si="91"/>
        <v>0</v>
      </c>
      <c r="AW62" s="49">
        <f t="shared" si="91"/>
        <v>0</v>
      </c>
      <c r="AX62" s="49">
        <f t="shared" si="91"/>
        <v>0</v>
      </c>
      <c r="AY62" s="49">
        <f t="shared" si="91"/>
        <v>0</v>
      </c>
      <c r="AZ62" s="44">
        <f t="shared" si="91"/>
        <v>200</v>
      </c>
      <c r="BA62" s="48">
        <f t="shared" si="91"/>
        <v>550</v>
      </c>
      <c r="BB62" s="48">
        <f t="shared" si="91"/>
        <v>0</v>
      </c>
      <c r="BC62" s="44">
        <f t="shared" si="91"/>
        <v>0</v>
      </c>
      <c r="BD62" s="44">
        <f t="shared" si="91"/>
        <v>0</v>
      </c>
      <c r="BE62" s="49">
        <f t="shared" si="91"/>
        <v>0</v>
      </c>
      <c r="BF62" s="49">
        <f>SUBTOTAL(9,BF60:BF61)</f>
        <v>0</v>
      </c>
      <c r="BG62" s="49">
        <f t="shared" si="91"/>
        <v>0</v>
      </c>
      <c r="BH62" s="49">
        <f t="shared" si="91"/>
        <v>0</v>
      </c>
      <c r="BI62" s="49">
        <f t="shared" si="91"/>
        <v>0</v>
      </c>
      <c r="BJ62" s="49">
        <f t="shared" si="91"/>
        <v>0</v>
      </c>
      <c r="BK62" s="49">
        <f t="shared" si="91"/>
        <v>0</v>
      </c>
      <c r="BL62" s="49">
        <f t="shared" si="91"/>
        <v>0</v>
      </c>
      <c r="BM62" s="49">
        <f t="shared" si="91"/>
        <v>0</v>
      </c>
      <c r="BN62" s="49">
        <f t="shared" si="91"/>
        <v>0</v>
      </c>
      <c r="BO62" s="49">
        <f t="shared" si="91"/>
        <v>0</v>
      </c>
      <c r="BP62" s="49">
        <f t="shared" si="91"/>
        <v>0</v>
      </c>
      <c r="BQ62" s="49">
        <f t="shared" si="91"/>
        <v>0</v>
      </c>
      <c r="BR62" s="44">
        <f>SUBTOTAL(9,BR60:BR61)</f>
        <v>750</v>
      </c>
    </row>
    <row r="63" spans="1:97">
      <c r="A63" s="192">
        <f>+A60+1</f>
        <v>43300</v>
      </c>
      <c r="B63" s="16" t="s">
        <v>43</v>
      </c>
      <c r="C63" s="33">
        <v>8740.76</v>
      </c>
      <c r="D63" s="34">
        <v>7606.12</v>
      </c>
      <c r="E63" s="34">
        <v>7607</v>
      </c>
      <c r="F63" s="171">
        <v>43300</v>
      </c>
      <c r="G63" s="33">
        <f>IF(E63-D63&lt;0,E63-D63,0)*-1</f>
        <v>0</v>
      </c>
      <c r="H63" s="33">
        <f>IF(E63-D63&gt;0,E63-D63,0)</f>
        <v>0.88000000000010914</v>
      </c>
      <c r="I63" s="34"/>
      <c r="J63" s="34"/>
      <c r="K63" s="34">
        <v>1078.3900000000001</v>
      </c>
      <c r="L63" s="34"/>
      <c r="M63" s="36">
        <f>(+K63)*M$5</f>
        <v>23.185385</v>
      </c>
      <c r="N63" s="36">
        <f>(+K63)*N$5</f>
        <v>5.3919500000000005</v>
      </c>
      <c r="O63" s="36">
        <f>+K63-M63-N63+P63</f>
        <v>1049.8126650000002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v>56.25</v>
      </c>
      <c r="AA63" s="34"/>
      <c r="AB63" s="34"/>
      <c r="AC63" s="34"/>
      <c r="AD63" s="38"/>
      <c r="AE63" s="38"/>
      <c r="AF63" s="34">
        <v>682.76</v>
      </c>
      <c r="AG63" s="33">
        <f>(AF63*0.8)*0.85</f>
        <v>464.27679999999998</v>
      </c>
      <c r="AH63" s="33">
        <f>(AF63*0.8)*0.15</f>
        <v>81.93119999999999</v>
      </c>
      <c r="AI63" s="33">
        <f>AF63*0.2</f>
        <v>136.55199999999999</v>
      </c>
      <c r="AJ63" s="34"/>
      <c r="AK63" s="33">
        <f t="shared" ref="AK63:AK64" si="92">(C63-AF63-AJ63)/1.12</f>
        <v>7194.6428571428569</v>
      </c>
      <c r="AL63" s="33">
        <f t="shared" ref="AL63:AL64" si="93">AK63-SUM(Y63:AC63)</f>
        <v>7138.3928571428569</v>
      </c>
      <c r="AM63" s="33">
        <f t="shared" ref="AM63:AM64" si="94">+AL63*0.12</f>
        <v>856.60714285714278</v>
      </c>
      <c r="AN63" s="33">
        <f t="shared" ref="AN63:AN64" si="95">+AM63+AL63+AJ63</f>
        <v>7995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" thickBot="1">
      <c r="A64" s="193"/>
      <c r="B64" s="16" t="s">
        <v>44</v>
      </c>
      <c r="C64" s="33">
        <v>10910.36</v>
      </c>
      <c r="D64" s="34">
        <v>6658.77</v>
      </c>
      <c r="E64" s="34">
        <v>6665</v>
      </c>
      <c r="F64" s="171">
        <v>43301</v>
      </c>
      <c r="G64" s="33">
        <f>IF(E64-D64&lt;0,E64-D64,0)*-1</f>
        <v>0</v>
      </c>
      <c r="H64" s="33">
        <f>IF(E64-D64&gt;0,E64-D64,0)</f>
        <v>6.2299999999995634</v>
      </c>
      <c r="I64" s="34"/>
      <c r="J64" s="34"/>
      <c r="K64" s="34">
        <v>4128.09</v>
      </c>
      <c r="L64" s="34"/>
      <c r="M64" s="36">
        <f>(+K64)*M$5</f>
        <v>88.753934999999998</v>
      </c>
      <c r="N64" s="36">
        <f>(+K64)*N$5</f>
        <v>20.640450000000001</v>
      </c>
      <c r="O64" s="36">
        <f>+K64-M64-N64+P64</f>
        <v>4018.6956150000001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f>19.25+60.5</f>
        <v>79.75</v>
      </c>
      <c r="AA64" s="34"/>
      <c r="AB64" s="34"/>
      <c r="AC64" s="34">
        <v>43.75</v>
      </c>
      <c r="AD64" s="38"/>
      <c r="AE64" s="38"/>
      <c r="AF64" s="34">
        <v>768.61</v>
      </c>
      <c r="AG64" s="33">
        <f>(AF64*0.8)*0.85</f>
        <v>522.65480000000002</v>
      </c>
      <c r="AH64" s="33">
        <f>(AF64*0.8)*0.15</f>
        <v>92.233199999999997</v>
      </c>
      <c r="AI64" s="33">
        <f>AF64*0.2</f>
        <v>153.72200000000001</v>
      </c>
      <c r="AJ64" s="34"/>
      <c r="AK64" s="33">
        <f t="shared" si="92"/>
        <v>9055.1339285714275</v>
      </c>
      <c r="AL64" s="33">
        <f t="shared" si="93"/>
        <v>8931.6339285714275</v>
      </c>
      <c r="AM64" s="33">
        <f t="shared" si="94"/>
        <v>1071.7960714285712</v>
      </c>
      <c r="AN64" s="33">
        <f t="shared" si="95"/>
        <v>10003.429999999998</v>
      </c>
      <c r="AO64" s="39">
        <v>998</v>
      </c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998</v>
      </c>
      <c r="BA64" s="38">
        <v>65</v>
      </c>
      <c r="BB64" s="38"/>
      <c r="BC64" s="33">
        <v>0</v>
      </c>
      <c r="BD64" s="33">
        <v>0</v>
      </c>
      <c r="BE64" s="39"/>
      <c r="BF64" s="39"/>
      <c r="BG64" s="39">
        <v>310</v>
      </c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1063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" thickBot="1">
      <c r="A65" s="42"/>
      <c r="B65" s="43"/>
      <c r="C65" s="44">
        <f>SUBTOTAL(9,C63:C64)</f>
        <v>19651.120000000003</v>
      </c>
      <c r="D65" s="45">
        <f>SUBTOTAL(9,D63:D64)</f>
        <v>14264.89</v>
      </c>
      <c r="E65" s="45">
        <f>SUBTOTAL(9,E63:E64)</f>
        <v>14272</v>
      </c>
      <c r="F65" s="172"/>
      <c r="G65" s="45">
        <f t="shared" ref="G65:P65" si="96">SUBTOTAL(9,G63:G64)</f>
        <v>0</v>
      </c>
      <c r="H65" s="45">
        <f t="shared" si="96"/>
        <v>7.1099999999996726</v>
      </c>
      <c r="I65" s="162">
        <f t="shared" si="96"/>
        <v>0</v>
      </c>
      <c r="J65" s="162">
        <f t="shared" si="96"/>
        <v>0</v>
      </c>
      <c r="K65" s="162">
        <f t="shared" si="96"/>
        <v>5206.4800000000005</v>
      </c>
      <c r="L65" s="162">
        <f t="shared" si="96"/>
        <v>0</v>
      </c>
      <c r="M65" s="46">
        <f t="shared" si="96"/>
        <v>111.93932</v>
      </c>
      <c r="N65" s="46">
        <f t="shared" si="96"/>
        <v>26.032400000000003</v>
      </c>
      <c r="O65" s="46">
        <f t="shared" si="96"/>
        <v>5068.50828</v>
      </c>
      <c r="P65" s="46">
        <f t="shared" si="96"/>
        <v>0</v>
      </c>
      <c r="Q65" s="47"/>
      <c r="R65" s="45">
        <f t="shared" ref="R65:BQ65" si="97">SUBTOTAL(9,R63:R64)</f>
        <v>0</v>
      </c>
      <c r="S65" s="45">
        <f t="shared" si="97"/>
        <v>0</v>
      </c>
      <c r="T65" s="46">
        <f t="shared" si="97"/>
        <v>0</v>
      </c>
      <c r="U65" s="46">
        <f t="shared" si="97"/>
        <v>0</v>
      </c>
      <c r="V65" s="46">
        <f t="shared" si="97"/>
        <v>0</v>
      </c>
      <c r="W65" s="46">
        <f t="shared" si="97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97"/>
        <v>986.9316</v>
      </c>
      <c r="AH65" s="44">
        <f t="shared" si="97"/>
        <v>174.1644</v>
      </c>
      <c r="AI65" s="44">
        <f t="shared" si="97"/>
        <v>290.274</v>
      </c>
      <c r="AJ65" s="45">
        <f t="shared" si="97"/>
        <v>0</v>
      </c>
      <c r="AK65" s="44">
        <f t="shared" si="97"/>
        <v>16249.776785714284</v>
      </c>
      <c r="AL65" s="44">
        <f t="shared" si="97"/>
        <v>16070.026785714284</v>
      </c>
      <c r="AM65" s="44">
        <f t="shared" si="97"/>
        <v>1928.4032142857141</v>
      </c>
      <c r="AN65" s="44">
        <f t="shared" si="67"/>
        <v>17998.43</v>
      </c>
      <c r="AO65" s="49">
        <f t="shared" si="97"/>
        <v>998</v>
      </c>
      <c r="AP65" s="49">
        <f t="shared" si="97"/>
        <v>0</v>
      </c>
      <c r="AQ65" s="49">
        <f t="shared" si="97"/>
        <v>0</v>
      </c>
      <c r="AR65" s="49">
        <f t="shared" si="97"/>
        <v>0</v>
      </c>
      <c r="AS65" s="49">
        <f t="shared" si="97"/>
        <v>0</v>
      </c>
      <c r="AT65" s="49">
        <f t="shared" si="97"/>
        <v>0</v>
      </c>
      <c r="AU65" s="49">
        <f>SUBTOTAL(9,AU63:AU64)</f>
        <v>0</v>
      </c>
      <c r="AV65" s="49">
        <f t="shared" si="97"/>
        <v>0</v>
      </c>
      <c r="AW65" s="49">
        <f t="shared" si="97"/>
        <v>0</v>
      </c>
      <c r="AX65" s="49">
        <f t="shared" si="97"/>
        <v>0</v>
      </c>
      <c r="AY65" s="49">
        <f t="shared" si="97"/>
        <v>0</v>
      </c>
      <c r="AZ65" s="44">
        <f t="shared" si="97"/>
        <v>998</v>
      </c>
      <c r="BA65" s="48">
        <f t="shared" si="97"/>
        <v>65</v>
      </c>
      <c r="BB65" s="48">
        <f t="shared" si="97"/>
        <v>0</v>
      </c>
      <c r="BC65" s="44">
        <f t="shared" si="97"/>
        <v>0</v>
      </c>
      <c r="BD65" s="44">
        <f t="shared" si="97"/>
        <v>0</v>
      </c>
      <c r="BE65" s="49">
        <f t="shared" si="97"/>
        <v>0</v>
      </c>
      <c r="BF65" s="49">
        <f>SUBTOTAL(9,BF63:BF64)</f>
        <v>0</v>
      </c>
      <c r="BG65" s="49">
        <f t="shared" si="97"/>
        <v>310</v>
      </c>
      <c r="BH65" s="49" t="s">
        <v>1</v>
      </c>
      <c r="BI65" s="49">
        <f t="shared" si="97"/>
        <v>0</v>
      </c>
      <c r="BJ65" s="49">
        <f t="shared" si="97"/>
        <v>0</v>
      </c>
      <c r="BK65" s="49">
        <f t="shared" si="97"/>
        <v>0</v>
      </c>
      <c r="BL65" s="49">
        <f t="shared" si="97"/>
        <v>0</v>
      </c>
      <c r="BM65" s="49">
        <f t="shared" si="97"/>
        <v>0</v>
      </c>
      <c r="BN65" s="49">
        <f t="shared" si="97"/>
        <v>0</v>
      </c>
      <c r="BO65" s="49">
        <f t="shared" si="97"/>
        <v>0</v>
      </c>
      <c r="BP65" s="49">
        <f t="shared" si="97"/>
        <v>0</v>
      </c>
      <c r="BQ65" s="49">
        <f t="shared" si="97"/>
        <v>0</v>
      </c>
      <c r="BR65" s="44">
        <f>SUBTOTAL(9,BR63:BR64)</f>
        <v>1063</v>
      </c>
    </row>
    <row r="66" spans="1:97">
      <c r="A66" s="192">
        <f>A63+1</f>
        <v>43301</v>
      </c>
      <c r="B66" s="16" t="s">
        <v>43</v>
      </c>
      <c r="C66" s="33">
        <v>10014.34</v>
      </c>
      <c r="D66" s="34">
        <v>9960</v>
      </c>
      <c r="E66" s="34">
        <v>9960</v>
      </c>
      <c r="F66" s="171">
        <v>43301</v>
      </c>
      <c r="G66" s="33">
        <f>IF(E66-D66&lt;0,E66-D66,0)*-1</f>
        <v>0</v>
      </c>
      <c r="H66" s="33">
        <f>IF(E66-D66&gt;0,E66-D66,0)</f>
        <v>0</v>
      </c>
      <c r="I66" s="34"/>
      <c r="J66" s="34"/>
      <c r="K66" s="34">
        <v>0</v>
      </c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57</v>
      </c>
      <c r="AA66" s="34"/>
      <c r="AB66" s="34"/>
      <c r="AC66" s="34"/>
      <c r="AD66" s="38"/>
      <c r="AE66" s="38"/>
      <c r="AF66" s="34">
        <v>756.34</v>
      </c>
      <c r="AG66" s="33">
        <f>(AF66*0.8)*0.85</f>
        <v>514.31119999999999</v>
      </c>
      <c r="AH66" s="33">
        <f>(AF66*0.8)*0.15</f>
        <v>90.760800000000003</v>
      </c>
      <c r="AI66" s="33">
        <f>AF66*0.2</f>
        <v>151.268</v>
      </c>
      <c r="AJ66" s="34"/>
      <c r="AK66" s="33">
        <f t="shared" ref="AK66" si="98">(C66-AF66-AJ66)/1.12</f>
        <v>8266.0714285714275</v>
      </c>
      <c r="AL66" s="33">
        <f t="shared" ref="AL66" si="99">AK66-SUM(Y66:AC66)</f>
        <v>8209.0714285714275</v>
      </c>
      <c r="AM66" s="33">
        <f t="shared" ref="AM66" si="100">+AL66*0.12</f>
        <v>985.0885714285713</v>
      </c>
      <c r="AN66" s="33">
        <f t="shared" si="67"/>
        <v>9194.159999999998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" thickBot="1">
      <c r="A67" s="193"/>
      <c r="B67" s="16" t="s">
        <v>44</v>
      </c>
      <c r="C67" s="33">
        <v>22709.18</v>
      </c>
      <c r="D67" s="34">
        <v>15031.13</v>
      </c>
      <c r="E67" s="34">
        <v>15031</v>
      </c>
      <c r="F67" s="171">
        <v>43304</v>
      </c>
      <c r="G67" s="33">
        <f>IF(E67-D67&lt;0,E67-D67,0)*-1</f>
        <v>0.12999999999919964</v>
      </c>
      <c r="H67" s="33">
        <f>IF(E67-D67&gt;0,E67-D67,0)</f>
        <v>0</v>
      </c>
      <c r="I67" s="34"/>
      <c r="J67" s="34"/>
      <c r="K67" s="34">
        <v>7564.37</v>
      </c>
      <c r="L67" s="34"/>
      <c r="M67" s="36">
        <f>(+K67)*M$5</f>
        <v>162.63395499999999</v>
      </c>
      <c r="N67" s="36">
        <f>(+K67)*N$5</f>
        <v>37.821849999999998</v>
      </c>
      <c r="O67" s="36">
        <f>+K67-M67-N67+P67</f>
        <v>7363.9141949999994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61</v>
      </c>
      <c r="AA67" s="34"/>
      <c r="AB67" s="34"/>
      <c r="AC67" s="34">
        <v>52.68</v>
      </c>
      <c r="AD67" s="38"/>
      <c r="AE67" s="38"/>
      <c r="AF67" s="34">
        <v>1730.79</v>
      </c>
      <c r="AG67" s="33">
        <f>(AF67*0.8)*0.85</f>
        <v>1176.9372000000001</v>
      </c>
      <c r="AH67" s="33">
        <f>(AF67*0.8)*0.15</f>
        <v>207.69480000000001</v>
      </c>
      <c r="AI67" s="33">
        <f>AF67*0.2</f>
        <v>346.15800000000002</v>
      </c>
      <c r="AJ67" s="34"/>
      <c r="AK67" s="33">
        <f t="shared" ref="AK67" si="101">(C67-AF67-AJ67)/1.12</f>
        <v>18730.705357142855</v>
      </c>
      <c r="AL67" s="33">
        <f t="shared" ref="AL67" si="102">AK67-SUM(Y67:AC67)</f>
        <v>18617.025357142855</v>
      </c>
      <c r="AM67" s="33">
        <f t="shared" ref="AM67:AM70" si="103">+AL67*0.12</f>
        <v>2234.0430428571426</v>
      </c>
      <c r="AN67" s="33">
        <f t="shared" ref="AN67" si="104">+AM67+AL67+AJ67</f>
        <v>20851.068399999996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3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" thickBot="1">
      <c r="A68" s="42"/>
      <c r="B68" s="43"/>
      <c r="C68" s="44">
        <f>SUBTOTAL(9,C66:C67)</f>
        <v>32723.52</v>
      </c>
      <c r="D68" s="45">
        <f>SUBTOTAL(9,D66:D67)</f>
        <v>24991.129999999997</v>
      </c>
      <c r="E68" s="45">
        <f>SUBTOTAL(9,E66:E67)</f>
        <v>24991</v>
      </c>
      <c r="F68" s="172"/>
      <c r="G68" s="45">
        <f t="shared" ref="G68:P68" si="105">SUBTOTAL(9,G66:G67)</f>
        <v>0.12999999999919964</v>
      </c>
      <c r="H68" s="45">
        <f t="shared" si="105"/>
        <v>0</v>
      </c>
      <c r="I68" s="162">
        <f t="shared" si="105"/>
        <v>0</v>
      </c>
      <c r="J68" s="162">
        <f t="shared" si="105"/>
        <v>0</v>
      </c>
      <c r="K68" s="162">
        <f t="shared" si="105"/>
        <v>7564.37</v>
      </c>
      <c r="L68" s="162">
        <f t="shared" si="105"/>
        <v>0</v>
      </c>
      <c r="M68" s="46">
        <f t="shared" si="105"/>
        <v>162.63395499999999</v>
      </c>
      <c r="N68" s="46">
        <f t="shared" si="105"/>
        <v>37.821849999999998</v>
      </c>
      <c r="O68" s="46">
        <f t="shared" si="105"/>
        <v>7363.9141949999994</v>
      </c>
      <c r="P68" s="46">
        <f t="shared" si="105"/>
        <v>0</v>
      </c>
      <c r="Q68" s="47"/>
      <c r="R68" s="45">
        <f t="shared" ref="R68:BQ68" si="106">SUBTOTAL(9,R66:R67)</f>
        <v>0</v>
      </c>
      <c r="S68" s="45">
        <f t="shared" si="106"/>
        <v>0</v>
      </c>
      <c r="T68" s="46">
        <f t="shared" si="106"/>
        <v>0</v>
      </c>
      <c r="U68" s="46">
        <f t="shared" si="106"/>
        <v>0</v>
      </c>
      <c r="V68" s="46">
        <f t="shared" si="106"/>
        <v>0</v>
      </c>
      <c r="W68" s="46">
        <f t="shared" si="106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106"/>
        <v>1691.2483999999999</v>
      </c>
      <c r="AH68" s="44">
        <f t="shared" si="106"/>
        <v>298.4556</v>
      </c>
      <c r="AI68" s="44">
        <f t="shared" si="106"/>
        <v>497.42600000000004</v>
      </c>
      <c r="AJ68" s="45">
        <f t="shared" si="106"/>
        <v>0</v>
      </c>
      <c r="AK68" s="44">
        <f t="shared" si="106"/>
        <v>26996.776785714283</v>
      </c>
      <c r="AL68" s="44">
        <f t="shared" si="106"/>
        <v>26826.096785714282</v>
      </c>
      <c r="AM68" s="44">
        <f t="shared" si="106"/>
        <v>3219.131614285714</v>
      </c>
      <c r="AN68" s="44">
        <f t="shared" si="67"/>
        <v>30045.228399999996</v>
      </c>
      <c r="AO68" s="49">
        <f t="shared" si="106"/>
        <v>0</v>
      </c>
      <c r="AP68" s="49">
        <f t="shared" si="106"/>
        <v>0</v>
      </c>
      <c r="AQ68" s="49">
        <f t="shared" si="106"/>
        <v>0</v>
      </c>
      <c r="AR68" s="49">
        <f t="shared" si="106"/>
        <v>0</v>
      </c>
      <c r="AS68" s="49">
        <f t="shared" si="106"/>
        <v>0</v>
      </c>
      <c r="AT68" s="49">
        <f t="shared" si="106"/>
        <v>0</v>
      </c>
      <c r="AU68" s="49">
        <f>SUBTOTAL(9,AU66:AU67)</f>
        <v>0</v>
      </c>
      <c r="AV68" s="49">
        <f t="shared" si="106"/>
        <v>0</v>
      </c>
      <c r="AW68" s="49">
        <f t="shared" si="106"/>
        <v>0</v>
      </c>
      <c r="AX68" s="49">
        <f t="shared" si="106"/>
        <v>0</v>
      </c>
      <c r="AY68" s="49">
        <f t="shared" si="106"/>
        <v>0</v>
      </c>
      <c r="AZ68" s="44">
        <f t="shared" si="106"/>
        <v>0</v>
      </c>
      <c r="BA68" s="48">
        <f t="shared" si="106"/>
        <v>0</v>
      </c>
      <c r="BB68" s="48">
        <f t="shared" si="106"/>
        <v>0</v>
      </c>
      <c r="BC68" s="44">
        <f t="shared" si="106"/>
        <v>0</v>
      </c>
      <c r="BD68" s="44">
        <f t="shared" si="106"/>
        <v>0</v>
      </c>
      <c r="BE68" s="49">
        <f t="shared" si="106"/>
        <v>0</v>
      </c>
      <c r="BF68" s="49">
        <f>SUBTOTAL(9,BF66:BF67)</f>
        <v>0</v>
      </c>
      <c r="BG68" s="49">
        <f t="shared" si="106"/>
        <v>0</v>
      </c>
      <c r="BH68" s="49">
        <f t="shared" si="106"/>
        <v>0</v>
      </c>
      <c r="BI68" s="49">
        <f t="shared" si="106"/>
        <v>0</v>
      </c>
      <c r="BJ68" s="49">
        <f t="shared" si="106"/>
        <v>0</v>
      </c>
      <c r="BK68" s="49">
        <f t="shared" si="106"/>
        <v>0</v>
      </c>
      <c r="BL68" s="49">
        <f t="shared" si="106"/>
        <v>0</v>
      </c>
      <c r="BM68" s="49">
        <f t="shared" si="106"/>
        <v>0</v>
      </c>
      <c r="BN68" s="49">
        <f t="shared" si="106"/>
        <v>0</v>
      </c>
      <c r="BO68" s="49">
        <f t="shared" si="106"/>
        <v>0</v>
      </c>
      <c r="BP68" s="49">
        <f t="shared" si="106"/>
        <v>0</v>
      </c>
      <c r="BQ68" s="49">
        <f t="shared" si="106"/>
        <v>0</v>
      </c>
      <c r="BR68" s="44">
        <f>SUBTOTAL(9,BR66:BR67)</f>
        <v>0</v>
      </c>
    </row>
    <row r="69" spans="1:97">
      <c r="A69" s="192">
        <f>+A66+1</f>
        <v>43302</v>
      </c>
      <c r="B69" s="16" t="s">
        <v>43</v>
      </c>
      <c r="C69" s="33" t="s">
        <v>156</v>
      </c>
      <c r="D69" s="34"/>
      <c r="E69" s="34"/>
      <c r="F69" s="171"/>
      <c r="G69" s="33">
        <f>IF(E69-D69&lt;0,E69-D69,0)*-1</f>
        <v>0</v>
      </c>
      <c r="H69" s="33">
        <f>IF(E69-D69&gt;0,E69-D69,0)</f>
        <v>0</v>
      </c>
      <c r="I69" s="34"/>
      <c r="J69" s="34"/>
      <c r="K69" s="34"/>
      <c r="L69" s="34"/>
      <c r="M69" s="36">
        <f>(+K69)*M$5</f>
        <v>0</v>
      </c>
      <c r="N69" s="36">
        <f>(+K69)*N$5</f>
        <v>0</v>
      </c>
      <c r="O69" s="36">
        <f>+K69-M69-N69+P69</f>
        <v>0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/>
      <c r="AD69" s="38"/>
      <c r="AE69" s="38"/>
      <c r="AF69" s="34"/>
      <c r="AG69" s="33">
        <f>(AF69*0.8)*0.85</f>
        <v>0</v>
      </c>
      <c r="AH69" s="33">
        <f>(AF69*0.8)*0.15</f>
        <v>0</v>
      </c>
      <c r="AI69" s="33">
        <f>AF69*0.2</f>
        <v>0</v>
      </c>
      <c r="AJ69" s="34"/>
      <c r="AK69" s="33">
        <v>0</v>
      </c>
      <c r="AL69" s="33">
        <f>AK69-SUM(Y69:AC69)</f>
        <v>0</v>
      </c>
      <c r="AM69" s="33">
        <f>+AL69*0.12</f>
        <v>0</v>
      </c>
      <c r="AN69" s="33">
        <f t="shared" ref="AN69" si="107">+AM69+AL69+AJ69</f>
        <v>0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" thickBot="1">
      <c r="A70" s="193"/>
      <c r="B70" s="16" t="s">
        <v>44</v>
      </c>
      <c r="C70" s="33">
        <v>8393.76</v>
      </c>
      <c r="D70" s="34">
        <v>6978.55</v>
      </c>
      <c r="E70" s="34">
        <v>6980</v>
      </c>
      <c r="F70" s="171">
        <v>43304</v>
      </c>
      <c r="G70" s="33">
        <f>IF(E70-D70&lt;0,E70-D70,0)*-1</f>
        <v>0</v>
      </c>
      <c r="H70" s="33">
        <f>IF(E70-D70&gt;0,E70-D70,0)</f>
        <v>1.4499999999998181</v>
      </c>
      <c r="I70" s="34"/>
      <c r="J70" s="34"/>
      <c r="K70" s="34">
        <v>1381.21</v>
      </c>
      <c r="L70" s="34"/>
      <c r="M70" s="36">
        <f>(+K70)*M$5</f>
        <v>29.696014999999999</v>
      </c>
      <c r="N70" s="36">
        <f>(+K70)*N$5</f>
        <v>6.9060500000000005</v>
      </c>
      <c r="O70" s="36">
        <f>+K70-M70-N70+P70</f>
        <v>1344.607935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/>
      <c r="AA70" s="34"/>
      <c r="AB70" s="34">
        <v>34</v>
      </c>
      <c r="AC70" s="34"/>
      <c r="AD70" s="38"/>
      <c r="AE70" s="38"/>
      <c r="AF70" s="34">
        <v>602.76</v>
      </c>
      <c r="AG70" s="33">
        <f>(AF70*0.8)*0.85</f>
        <v>409.8768</v>
      </c>
      <c r="AH70" s="33">
        <f>(AF70*0.8)*0.15</f>
        <v>72.331199999999995</v>
      </c>
      <c r="AI70" s="33">
        <f>AF70*0.2</f>
        <v>120.55200000000001</v>
      </c>
      <c r="AJ70" s="34"/>
      <c r="AK70" s="33">
        <f t="shared" ref="AK70" si="108">(C70-AF70-AJ70)/1.12</f>
        <v>6956.2499999999991</v>
      </c>
      <c r="AL70" s="33">
        <f t="shared" ref="AL70" si="109">AK70-SUM(Y70:AC70)</f>
        <v>6922.2499999999991</v>
      </c>
      <c r="AM70" s="33">
        <f t="shared" si="103"/>
        <v>830.66999999999985</v>
      </c>
      <c r="AN70" s="33">
        <f t="shared" si="67"/>
        <v>7752.9199999999992</v>
      </c>
      <c r="AO70" s="39"/>
      <c r="AP70" s="40"/>
      <c r="AQ70" s="40">
        <v>585</v>
      </c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585</v>
      </c>
      <c r="BA70" s="38"/>
      <c r="BB70" s="38">
        <v>0</v>
      </c>
      <c r="BC70" s="33"/>
      <c r="BD70" s="33"/>
      <c r="BE70" s="39"/>
      <c r="BF70" s="39"/>
      <c r="BG70" s="39">
        <v>185</v>
      </c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585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" thickBot="1">
      <c r="A71" s="42"/>
      <c r="B71" s="43"/>
      <c r="C71" s="44">
        <f>SUBTOTAL(9,C69:C70)</f>
        <v>8393.76</v>
      </c>
      <c r="D71" s="45">
        <f>SUBTOTAL(9,D69:D70)</f>
        <v>6978.55</v>
      </c>
      <c r="E71" s="45">
        <f>SUBTOTAL(9,E69:E70)</f>
        <v>6980</v>
      </c>
      <c r="F71" s="172"/>
      <c r="G71" s="45">
        <f t="shared" ref="G71:P71" si="110">SUBTOTAL(9,G69:G70)</f>
        <v>0</v>
      </c>
      <c r="H71" s="45">
        <f t="shared" si="110"/>
        <v>1.4499999999998181</v>
      </c>
      <c r="I71" s="162">
        <f t="shared" si="110"/>
        <v>0</v>
      </c>
      <c r="J71" s="162">
        <f t="shared" si="110"/>
        <v>0</v>
      </c>
      <c r="K71" s="162">
        <f t="shared" si="110"/>
        <v>1381.21</v>
      </c>
      <c r="L71" s="162">
        <f t="shared" si="110"/>
        <v>0</v>
      </c>
      <c r="M71" s="46">
        <f t="shared" si="110"/>
        <v>29.696014999999999</v>
      </c>
      <c r="N71" s="46">
        <f t="shared" si="110"/>
        <v>6.9060500000000005</v>
      </c>
      <c r="O71" s="46">
        <f t="shared" si="110"/>
        <v>1344.607935</v>
      </c>
      <c r="P71" s="46">
        <f t="shared" si="110"/>
        <v>0</v>
      </c>
      <c r="Q71" s="47"/>
      <c r="R71" s="45">
        <f t="shared" ref="R71:BQ71" si="111">SUBTOTAL(9,R69:R70)</f>
        <v>0</v>
      </c>
      <c r="S71" s="45">
        <f t="shared" si="111"/>
        <v>0</v>
      </c>
      <c r="T71" s="46">
        <f t="shared" si="111"/>
        <v>0</v>
      </c>
      <c r="U71" s="46">
        <f t="shared" si="111"/>
        <v>0</v>
      </c>
      <c r="V71" s="46">
        <f t="shared" si="111"/>
        <v>0</v>
      </c>
      <c r="W71" s="46">
        <f t="shared" si="111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11"/>
        <v>409.8768</v>
      </c>
      <c r="AH71" s="44">
        <f t="shared" si="111"/>
        <v>72.331199999999995</v>
      </c>
      <c r="AI71" s="44">
        <f t="shared" si="111"/>
        <v>120.55200000000001</v>
      </c>
      <c r="AJ71" s="45">
        <f t="shared" si="111"/>
        <v>0</v>
      </c>
      <c r="AK71" s="44">
        <f t="shared" si="111"/>
        <v>6956.2499999999991</v>
      </c>
      <c r="AL71" s="44">
        <f t="shared" si="111"/>
        <v>6922.2499999999991</v>
      </c>
      <c r="AM71" s="44">
        <f t="shared" si="111"/>
        <v>830.66999999999985</v>
      </c>
      <c r="AN71" s="44">
        <f t="shared" si="67"/>
        <v>7752.9199999999992</v>
      </c>
      <c r="AO71" s="49">
        <f t="shared" si="111"/>
        <v>0</v>
      </c>
      <c r="AP71" s="49">
        <f t="shared" si="111"/>
        <v>0</v>
      </c>
      <c r="AQ71" s="49">
        <f t="shared" si="111"/>
        <v>585</v>
      </c>
      <c r="AR71" s="49">
        <f t="shared" si="111"/>
        <v>0</v>
      </c>
      <c r="AS71" s="49">
        <f t="shared" si="111"/>
        <v>0</v>
      </c>
      <c r="AT71" s="49">
        <f t="shared" si="111"/>
        <v>0</v>
      </c>
      <c r="AU71" s="49">
        <f>SUBTOTAL(9,AU69:AU70)</f>
        <v>0</v>
      </c>
      <c r="AV71" s="49">
        <f t="shared" si="111"/>
        <v>0</v>
      </c>
      <c r="AW71" s="49">
        <f t="shared" si="111"/>
        <v>0</v>
      </c>
      <c r="AX71" s="49">
        <f t="shared" si="111"/>
        <v>0</v>
      </c>
      <c r="AY71" s="49">
        <f t="shared" si="111"/>
        <v>0</v>
      </c>
      <c r="AZ71" s="44">
        <f t="shared" si="111"/>
        <v>585</v>
      </c>
      <c r="BA71" s="48">
        <f t="shared" si="111"/>
        <v>0</v>
      </c>
      <c r="BB71" s="48">
        <f t="shared" si="111"/>
        <v>0</v>
      </c>
      <c r="BC71" s="44">
        <f t="shared" si="111"/>
        <v>0</v>
      </c>
      <c r="BD71" s="44">
        <f t="shared" si="111"/>
        <v>0</v>
      </c>
      <c r="BE71" s="49">
        <f t="shared" si="111"/>
        <v>0</v>
      </c>
      <c r="BF71" s="49">
        <f>SUBTOTAL(9,BF69:BF70)</f>
        <v>0</v>
      </c>
      <c r="BG71" s="49">
        <f t="shared" si="111"/>
        <v>185</v>
      </c>
      <c r="BH71" s="49">
        <f t="shared" si="111"/>
        <v>0</v>
      </c>
      <c r="BI71" s="49">
        <f t="shared" si="111"/>
        <v>0</v>
      </c>
      <c r="BJ71" s="49">
        <f t="shared" si="111"/>
        <v>0</v>
      </c>
      <c r="BK71" s="49">
        <f t="shared" si="111"/>
        <v>0</v>
      </c>
      <c r="BL71" s="49">
        <f t="shared" si="111"/>
        <v>0</v>
      </c>
      <c r="BM71" s="49">
        <f t="shared" si="111"/>
        <v>0</v>
      </c>
      <c r="BN71" s="49">
        <f t="shared" si="111"/>
        <v>0</v>
      </c>
      <c r="BO71" s="49">
        <f t="shared" si="111"/>
        <v>0</v>
      </c>
      <c r="BP71" s="49">
        <f t="shared" si="111"/>
        <v>0</v>
      </c>
      <c r="BQ71" s="49">
        <f t="shared" si="111"/>
        <v>0</v>
      </c>
      <c r="BR71" s="44">
        <f>SUBTOTAL(9,BR69:BR70)</f>
        <v>585</v>
      </c>
    </row>
    <row r="72" spans="1:97">
      <c r="A72" s="192">
        <f>+A69+1</f>
        <v>43303</v>
      </c>
      <c r="B72" s="16" t="s">
        <v>43</v>
      </c>
      <c r="C72" s="33" t="s">
        <v>157</v>
      </c>
      <c r="D72" s="34"/>
      <c r="E72" s="34"/>
      <c r="F72" s="171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v>0</v>
      </c>
      <c r="AL72" s="33">
        <f t="shared" ref="AL72" si="112">AK72-SUM(Y72:AC72)</f>
        <v>0</v>
      </c>
      <c r="AM72" s="33">
        <f t="shared" ref="AM72" si="113">+AL72*0.12</f>
        <v>0</v>
      </c>
      <c r="AN72" s="33">
        <f t="shared" ref="AN72" si="114">+AM72+AL72+AJ72</f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" thickBot="1">
      <c r="A73" s="193"/>
      <c r="B73" s="16" t="s">
        <v>44</v>
      </c>
      <c r="C73" s="33"/>
      <c r="D73" s="34"/>
      <c r="E73" s="34"/>
      <c r="F73" s="171"/>
      <c r="G73" s="33">
        <f>IF(E73-D73&lt;0,E73-D73,0)*-1</f>
        <v>0</v>
      </c>
      <c r="H73" s="33">
        <f>IF(E73-D73&gt;0,E73-D73,0)</f>
        <v>0</v>
      </c>
      <c r="I73" s="34"/>
      <c r="J73" s="34"/>
      <c r="K73" s="34"/>
      <c r="L73" s="34"/>
      <c r="M73" s="36">
        <f>(+K73)*M$5</f>
        <v>0</v>
      </c>
      <c r="N73" s="36">
        <f>(+K73)*N$5</f>
        <v>0</v>
      </c>
      <c r="O73" s="36">
        <f>+K73-M73-N73+P73</f>
        <v>0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/>
      <c r="AD73" s="38"/>
      <c r="AE73" s="38"/>
      <c r="AF73" s="34"/>
      <c r="AG73" s="33">
        <f>(AF73*0.8)*0.85</f>
        <v>0</v>
      </c>
      <c r="AH73" s="33">
        <f>(AF73*0.8)*0.15</f>
        <v>0</v>
      </c>
      <c r="AI73" s="33">
        <f>AF73*0.2</f>
        <v>0</v>
      </c>
      <c r="AJ73" s="34"/>
      <c r="AK73" s="33">
        <f>(C73-AF73-AJ73)/1.12</f>
        <v>0</v>
      </c>
      <c r="AL73" s="33">
        <f>AK73-SUM(Y73:AC73)</f>
        <v>0</v>
      </c>
      <c r="AM73" s="33">
        <f>+AL73*0.12</f>
        <v>0</v>
      </c>
      <c r="AN73" s="33">
        <f>+AM73+AL73+AJ73</f>
        <v>0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" thickBot="1">
      <c r="A74" s="42"/>
      <c r="B74" s="43"/>
      <c r="C74" s="44">
        <f>SUBTOTAL(9,C72:C73)</f>
        <v>0</v>
      </c>
      <c r="D74" s="45">
        <f>SUBTOTAL(9,D72:D73)</f>
        <v>0</v>
      </c>
      <c r="E74" s="45">
        <f>SUBTOTAL(9,E72:E73)</f>
        <v>0</v>
      </c>
      <c r="F74" s="172"/>
      <c r="G74" s="45">
        <f t="shared" ref="G74:P74" si="115">SUBTOTAL(9,G72:G73)</f>
        <v>0</v>
      </c>
      <c r="H74" s="45">
        <f t="shared" si="115"/>
        <v>0</v>
      </c>
      <c r="I74" s="162">
        <f t="shared" si="115"/>
        <v>0</v>
      </c>
      <c r="J74" s="162">
        <f t="shared" si="115"/>
        <v>0</v>
      </c>
      <c r="K74" s="162">
        <f t="shared" si="115"/>
        <v>0</v>
      </c>
      <c r="L74" s="162">
        <f t="shared" si="115"/>
        <v>0</v>
      </c>
      <c r="M74" s="46">
        <f t="shared" si="115"/>
        <v>0</v>
      </c>
      <c r="N74" s="46">
        <f t="shared" si="115"/>
        <v>0</v>
      </c>
      <c r="O74" s="46">
        <f t="shared" si="115"/>
        <v>0</v>
      </c>
      <c r="P74" s="46">
        <f t="shared" si="115"/>
        <v>0</v>
      </c>
      <c r="Q74" s="47"/>
      <c r="R74" s="45">
        <f t="shared" ref="R74:BQ74" si="116">SUBTOTAL(9,R72:R73)</f>
        <v>0</v>
      </c>
      <c r="S74" s="45">
        <f t="shared" si="116"/>
        <v>0</v>
      </c>
      <c r="T74" s="46">
        <f t="shared" si="116"/>
        <v>0</v>
      </c>
      <c r="U74" s="46">
        <f t="shared" si="116"/>
        <v>0</v>
      </c>
      <c r="V74" s="46">
        <f t="shared" si="116"/>
        <v>0</v>
      </c>
      <c r="W74" s="46">
        <f t="shared" si="116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16"/>
        <v>0</v>
      </c>
      <c r="AH74" s="44">
        <f t="shared" si="116"/>
        <v>0</v>
      </c>
      <c r="AI74" s="44">
        <f t="shared" si="116"/>
        <v>0</v>
      </c>
      <c r="AJ74" s="45">
        <f t="shared" si="116"/>
        <v>0</v>
      </c>
      <c r="AK74" s="44">
        <f t="shared" si="116"/>
        <v>0</v>
      </c>
      <c r="AL74" s="44">
        <f t="shared" si="116"/>
        <v>0</v>
      </c>
      <c r="AM74" s="44">
        <f t="shared" si="116"/>
        <v>0</v>
      </c>
      <c r="AN74" s="44">
        <f t="shared" si="67"/>
        <v>0</v>
      </c>
      <c r="AO74" s="49">
        <f t="shared" si="116"/>
        <v>0</v>
      </c>
      <c r="AP74" s="49">
        <f t="shared" si="116"/>
        <v>0</v>
      </c>
      <c r="AQ74" s="49">
        <f t="shared" si="116"/>
        <v>0</v>
      </c>
      <c r="AR74" s="49">
        <f t="shared" si="116"/>
        <v>0</v>
      </c>
      <c r="AS74" s="49">
        <f t="shared" si="116"/>
        <v>0</v>
      </c>
      <c r="AT74" s="49">
        <f t="shared" si="116"/>
        <v>0</v>
      </c>
      <c r="AU74" s="49">
        <f>SUBTOTAL(9,AU72:AU73)</f>
        <v>0</v>
      </c>
      <c r="AV74" s="49">
        <f t="shared" si="116"/>
        <v>0</v>
      </c>
      <c r="AW74" s="49">
        <f t="shared" si="116"/>
        <v>0</v>
      </c>
      <c r="AX74" s="49">
        <f t="shared" si="116"/>
        <v>0</v>
      </c>
      <c r="AY74" s="49">
        <f t="shared" si="116"/>
        <v>0</v>
      </c>
      <c r="AZ74" s="44">
        <f t="shared" si="116"/>
        <v>0</v>
      </c>
      <c r="BA74" s="48">
        <f t="shared" si="116"/>
        <v>0</v>
      </c>
      <c r="BB74" s="48">
        <f t="shared" si="116"/>
        <v>0</v>
      </c>
      <c r="BC74" s="44">
        <f t="shared" si="116"/>
        <v>0</v>
      </c>
      <c r="BD74" s="44">
        <f t="shared" si="116"/>
        <v>0</v>
      </c>
      <c r="BE74" s="49">
        <f t="shared" si="116"/>
        <v>0</v>
      </c>
      <c r="BF74" s="49">
        <f>SUBTOTAL(9,BF72:BF73)</f>
        <v>0</v>
      </c>
      <c r="BG74" s="49">
        <f t="shared" si="116"/>
        <v>0</v>
      </c>
      <c r="BH74" s="49">
        <f t="shared" si="116"/>
        <v>0</v>
      </c>
      <c r="BI74" s="49">
        <f t="shared" si="116"/>
        <v>0</v>
      </c>
      <c r="BJ74" s="49">
        <f t="shared" si="116"/>
        <v>0</v>
      </c>
      <c r="BK74" s="49">
        <f t="shared" si="116"/>
        <v>0</v>
      </c>
      <c r="BL74" s="49">
        <f t="shared" si="116"/>
        <v>0</v>
      </c>
      <c r="BM74" s="49">
        <f t="shared" si="116"/>
        <v>0</v>
      </c>
      <c r="BN74" s="49">
        <f t="shared" si="116"/>
        <v>0</v>
      </c>
      <c r="BO74" s="49">
        <f t="shared" si="116"/>
        <v>0</v>
      </c>
      <c r="BP74" s="49">
        <f t="shared" si="116"/>
        <v>0</v>
      </c>
      <c r="BQ74" s="49">
        <f t="shared" si="116"/>
        <v>0</v>
      </c>
      <c r="BR74" s="44">
        <f>SUBTOTAL(9,BR72:BR73)</f>
        <v>0</v>
      </c>
    </row>
    <row r="75" spans="1:97">
      <c r="A75" s="192">
        <f>+A72+1</f>
        <v>43304</v>
      </c>
      <c r="B75" s="16" t="s">
        <v>43</v>
      </c>
      <c r="C75" s="33">
        <v>14966.61</v>
      </c>
      <c r="D75" s="34">
        <v>7999.15</v>
      </c>
      <c r="E75" s="34">
        <v>8000</v>
      </c>
      <c r="F75" s="171">
        <v>43304</v>
      </c>
      <c r="G75" s="33">
        <f>IF(E75-D75&lt;0,E75-D75,0)*-1</f>
        <v>0</v>
      </c>
      <c r="H75" s="33">
        <f>IF(E75-D75&gt;0,E75-D75,0)</f>
        <v>0.8500000000003638</v>
      </c>
      <c r="I75" s="34"/>
      <c r="J75" s="34"/>
      <c r="K75" s="34">
        <v>6756.43</v>
      </c>
      <c r="L75" s="34"/>
      <c r="M75" s="36">
        <f>(+K75)*M$5</f>
        <v>145.26324499999998</v>
      </c>
      <c r="N75" s="36">
        <f>(+K75)*N$5</f>
        <v>33.782150000000001</v>
      </c>
      <c r="O75" s="36">
        <f>+K75-M75-N75+P75</f>
        <v>6577.3846050000002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>
        <v>3</v>
      </c>
      <c r="AA75" s="34"/>
      <c r="AB75" s="34"/>
      <c r="AC75" s="34">
        <v>208.03</v>
      </c>
      <c r="AD75" s="38"/>
      <c r="AE75" s="38"/>
      <c r="AF75" s="34">
        <v>1091.44</v>
      </c>
      <c r="AG75" s="33">
        <f>(AF75*0.8)*0.85</f>
        <v>742.17920000000004</v>
      </c>
      <c r="AH75" s="33">
        <f>(AF75*0.8)*0.15</f>
        <v>130.97280000000001</v>
      </c>
      <c r="AI75" s="33">
        <f>AF75*0.2</f>
        <v>218.28800000000001</v>
      </c>
      <c r="AJ75" s="34"/>
      <c r="AK75" s="33">
        <f t="shared" ref="AK75" si="117">(C75-AF75-AJ75)/1.12</f>
        <v>12388.544642857141</v>
      </c>
      <c r="AL75" s="33">
        <f t="shared" ref="AL75" si="118">AK75-SUM(Y75:AC75)</f>
        <v>12177.514642857141</v>
      </c>
      <c r="AM75" s="33">
        <f t="shared" ref="AM75" si="119">+AL75*0.12</f>
        <v>1461.3017571428568</v>
      </c>
      <c r="AN75" s="33">
        <f t="shared" ref="AN75" si="120">+AM75+AL75+AJ75</f>
        <v>13638.816399999998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" thickBot="1">
      <c r="A76" s="193"/>
      <c r="B76" s="16" t="s">
        <v>44</v>
      </c>
      <c r="C76" s="33">
        <v>11791.64</v>
      </c>
      <c r="D76" s="34">
        <v>10809.82</v>
      </c>
      <c r="E76" s="34">
        <v>10810</v>
      </c>
      <c r="F76" s="171">
        <v>43305</v>
      </c>
      <c r="G76" s="33">
        <f>IF(E76-D76&lt;0,E76-D76,0)*-1</f>
        <v>0</v>
      </c>
      <c r="H76" s="33">
        <f>IF(E76-D76&gt;0,E76-D76,0)</f>
        <v>0.18000000000029104</v>
      </c>
      <c r="I76" s="34"/>
      <c r="J76" s="34"/>
      <c r="K76" s="34">
        <v>865.98</v>
      </c>
      <c r="L76" s="34"/>
      <c r="M76" s="36">
        <f>(+K76)*M$5</f>
        <v>18.618569999999998</v>
      </c>
      <c r="N76" s="36">
        <f>(+K76)*N$5</f>
        <v>4.3299000000000003</v>
      </c>
      <c r="O76" s="36">
        <f>+K76-M76-N76+P76</f>
        <v>843.03153000000009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58.25</v>
      </c>
      <c r="AA76" s="34"/>
      <c r="AB76" s="34"/>
      <c r="AC76" s="34">
        <v>57.59</v>
      </c>
      <c r="AD76" s="38"/>
      <c r="AE76" s="38"/>
      <c r="AF76" s="34">
        <v>898.19</v>
      </c>
      <c r="AG76" s="33">
        <f>(AF76*0.8)*0.85</f>
        <v>610.76920000000007</v>
      </c>
      <c r="AH76" s="33">
        <f>(AF76*0.8)*0.15</f>
        <v>107.78280000000002</v>
      </c>
      <c r="AI76" s="33">
        <f>AF76*0.2</f>
        <v>179.63800000000003</v>
      </c>
      <c r="AJ76" s="34"/>
      <c r="AK76" s="33">
        <f>(C76-AF76-AJ76)/1.12</f>
        <v>9726.2946428571413</v>
      </c>
      <c r="AL76" s="33">
        <f>AK76-SUM(Y76:AC76)</f>
        <v>9610.4546428571412</v>
      </c>
      <c r="AM76" s="33">
        <f>+AL76*0.12</f>
        <v>1153.2545571428568</v>
      </c>
      <c r="AN76" s="33">
        <f t="shared" si="67"/>
        <v>10763.709199999998</v>
      </c>
      <c r="AO76" s="39"/>
      <c r="AP76" s="40"/>
      <c r="AQ76" s="40">
        <v>240</v>
      </c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240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240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" thickBot="1">
      <c r="A77" s="42"/>
      <c r="B77" s="43"/>
      <c r="C77" s="44">
        <f>SUBTOTAL(9,C75:C76)</f>
        <v>26758.25</v>
      </c>
      <c r="D77" s="45">
        <f>SUBTOTAL(9,D75:D76)</f>
        <v>18808.97</v>
      </c>
      <c r="E77" s="45">
        <f>SUBTOTAL(9,E75:E76)</f>
        <v>18810</v>
      </c>
      <c r="F77" s="172"/>
      <c r="G77" s="45">
        <f t="shared" ref="G77:P77" si="121">SUBTOTAL(9,G75:G76)</f>
        <v>0</v>
      </c>
      <c r="H77" s="45">
        <f t="shared" si="121"/>
        <v>1.0300000000006548</v>
      </c>
      <c r="I77" s="45">
        <f t="shared" si="121"/>
        <v>0</v>
      </c>
      <c r="J77" s="45">
        <f t="shared" si="121"/>
        <v>0</v>
      </c>
      <c r="K77" s="45"/>
      <c r="L77" s="45">
        <f t="shared" si="121"/>
        <v>0</v>
      </c>
      <c r="M77" s="46">
        <f t="shared" si="121"/>
        <v>163.88181499999999</v>
      </c>
      <c r="N77" s="46">
        <f t="shared" si="121"/>
        <v>38.112050000000004</v>
      </c>
      <c r="O77" s="46">
        <f t="shared" si="121"/>
        <v>7420.4161350000004</v>
      </c>
      <c r="P77" s="46">
        <f t="shared" si="121"/>
        <v>0</v>
      </c>
      <c r="Q77" s="116"/>
      <c r="R77" s="45">
        <f t="shared" ref="R77:BQ77" si="122">SUBTOTAL(9,R75:R76)</f>
        <v>0</v>
      </c>
      <c r="S77" s="45">
        <f t="shared" si="122"/>
        <v>0</v>
      </c>
      <c r="T77" s="46">
        <f t="shared" si="122"/>
        <v>0</v>
      </c>
      <c r="U77" s="46">
        <f t="shared" si="122"/>
        <v>0</v>
      </c>
      <c r="V77" s="46">
        <f t="shared" si="122"/>
        <v>0</v>
      </c>
      <c r="W77" s="46">
        <f t="shared" si="12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22"/>
        <v>1352.9484000000002</v>
      </c>
      <c r="AH77" s="44">
        <f t="shared" si="122"/>
        <v>238.75560000000002</v>
      </c>
      <c r="AI77" s="44">
        <f t="shared" si="122"/>
        <v>397.92600000000004</v>
      </c>
      <c r="AJ77" s="45">
        <f t="shared" si="122"/>
        <v>0</v>
      </c>
      <c r="AK77" s="44">
        <f t="shared" si="122"/>
        <v>22114.839285714283</v>
      </c>
      <c r="AL77" s="44">
        <f t="shared" si="122"/>
        <v>21787.96928571428</v>
      </c>
      <c r="AM77" s="44">
        <f t="shared" si="122"/>
        <v>2614.5563142857136</v>
      </c>
      <c r="AN77" s="44">
        <f t="shared" ref="AN77:AN103" si="123">+AM77+AL77+AJ77</f>
        <v>24402.525599999994</v>
      </c>
      <c r="AO77" s="49">
        <f t="shared" si="122"/>
        <v>0</v>
      </c>
      <c r="AP77" s="49">
        <f t="shared" si="122"/>
        <v>0</v>
      </c>
      <c r="AQ77" s="49">
        <f t="shared" si="122"/>
        <v>240</v>
      </c>
      <c r="AR77" s="49">
        <f t="shared" si="122"/>
        <v>0</v>
      </c>
      <c r="AS77" s="49">
        <f t="shared" si="122"/>
        <v>0</v>
      </c>
      <c r="AT77" s="49">
        <f t="shared" si="122"/>
        <v>0</v>
      </c>
      <c r="AU77" s="49">
        <f>SUBTOTAL(9,AU75:AU76)</f>
        <v>0</v>
      </c>
      <c r="AV77" s="49">
        <f t="shared" si="122"/>
        <v>0</v>
      </c>
      <c r="AW77" s="49">
        <f t="shared" si="122"/>
        <v>0</v>
      </c>
      <c r="AX77" s="49">
        <f t="shared" si="122"/>
        <v>0</v>
      </c>
      <c r="AY77" s="49">
        <f t="shared" si="122"/>
        <v>0</v>
      </c>
      <c r="AZ77" s="44">
        <f t="shared" si="122"/>
        <v>240</v>
      </c>
      <c r="BA77" s="48">
        <f t="shared" si="122"/>
        <v>0</v>
      </c>
      <c r="BB77" s="48">
        <f t="shared" si="122"/>
        <v>0</v>
      </c>
      <c r="BC77" s="44">
        <f t="shared" si="122"/>
        <v>0</v>
      </c>
      <c r="BD77" s="44">
        <f t="shared" si="122"/>
        <v>0</v>
      </c>
      <c r="BE77" s="49">
        <f t="shared" si="122"/>
        <v>0</v>
      </c>
      <c r="BF77" s="49">
        <f>SUBTOTAL(9,BF75:BF76)</f>
        <v>0</v>
      </c>
      <c r="BG77" s="49">
        <f t="shared" si="122"/>
        <v>0</v>
      </c>
      <c r="BH77" s="49">
        <f t="shared" si="122"/>
        <v>0</v>
      </c>
      <c r="BI77" s="49">
        <f t="shared" si="122"/>
        <v>0</v>
      </c>
      <c r="BJ77" s="49">
        <f t="shared" si="122"/>
        <v>0</v>
      </c>
      <c r="BK77" s="49">
        <f t="shared" si="122"/>
        <v>0</v>
      </c>
      <c r="BL77" s="49">
        <f t="shared" si="122"/>
        <v>0</v>
      </c>
      <c r="BM77" s="49">
        <f t="shared" si="122"/>
        <v>0</v>
      </c>
      <c r="BN77" s="49">
        <f t="shared" si="122"/>
        <v>0</v>
      </c>
      <c r="BO77" s="49">
        <f t="shared" si="122"/>
        <v>0</v>
      </c>
      <c r="BP77" s="49">
        <f t="shared" si="122"/>
        <v>0</v>
      </c>
      <c r="BQ77" s="49">
        <f t="shared" si="122"/>
        <v>0</v>
      </c>
      <c r="BR77" s="44">
        <f>SUBTOTAL(9,BR75:BR76)</f>
        <v>240</v>
      </c>
    </row>
    <row r="78" spans="1:97">
      <c r="A78" s="192">
        <f>+A75+1</f>
        <v>43305</v>
      </c>
      <c r="B78" s="16" t="s">
        <v>43</v>
      </c>
      <c r="C78" s="33">
        <v>18529.439999999999</v>
      </c>
      <c r="D78" s="34">
        <v>13057.86</v>
      </c>
      <c r="E78" s="34">
        <v>13060</v>
      </c>
      <c r="F78" s="171">
        <v>43305</v>
      </c>
      <c r="G78" s="33">
        <f>IF(E78-D78&lt;0,E78-D78,0)*-1</f>
        <v>0</v>
      </c>
      <c r="H78" s="33">
        <f>IF(E78-D78&gt;0,E78-D78,0)</f>
        <v>2.1399999999994179</v>
      </c>
      <c r="I78" s="34"/>
      <c r="J78" s="34"/>
      <c r="K78" s="34">
        <v>5378.31</v>
      </c>
      <c r="L78" s="34"/>
      <c r="M78" s="36">
        <f>(+K78)*M$5</f>
        <v>115.63366499999999</v>
      </c>
      <c r="N78" s="36">
        <f>(+K78)*N$5</f>
        <v>26.891550000000002</v>
      </c>
      <c r="O78" s="36">
        <f>+K78-M78-N78+P78</f>
        <v>5235.7847849999998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58.45</v>
      </c>
      <c r="AA78" s="34"/>
      <c r="AB78" s="34"/>
      <c r="AC78" s="34">
        <v>34.82</v>
      </c>
      <c r="AD78" s="38"/>
      <c r="AE78" s="38"/>
      <c r="AF78" s="34">
        <v>1286.3900000000001</v>
      </c>
      <c r="AG78" s="33">
        <f>(AF78*0.8)*0.85</f>
        <v>874.74520000000007</v>
      </c>
      <c r="AH78" s="33">
        <f>(AF78*0.8)*0.15</f>
        <v>154.36680000000001</v>
      </c>
      <c r="AI78" s="33">
        <f>AF78*0.2</f>
        <v>257.27800000000002</v>
      </c>
      <c r="AJ78" s="34"/>
      <c r="AK78" s="33">
        <f>(C78-AF78-AJ78)/1.12</f>
        <v>15395.580357142855</v>
      </c>
      <c r="AL78" s="33">
        <f>AK78-SUM(Y78:AC78)</f>
        <v>15302.310357142855</v>
      </c>
      <c r="AM78" s="33">
        <f>+AL78*0.12</f>
        <v>1836.2772428571425</v>
      </c>
      <c r="AN78" s="33">
        <f t="shared" si="123"/>
        <v>17138.587599999999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" thickBot="1">
      <c r="A79" s="193"/>
      <c r="B79" s="16" t="s">
        <v>44</v>
      </c>
      <c r="C79" s="33">
        <v>17911.36</v>
      </c>
      <c r="D79" s="34">
        <v>10582.54</v>
      </c>
      <c r="E79" s="34">
        <v>10585</v>
      </c>
      <c r="F79" s="171">
        <v>43306</v>
      </c>
      <c r="G79" s="33">
        <f>IF(E79-D79&lt;0,E79-D79,0)*-1</f>
        <v>0</v>
      </c>
      <c r="H79" s="33">
        <f>IF(E79-D79&gt;0,E79-D79,0)</f>
        <v>2.4599999999991269</v>
      </c>
      <c r="I79" s="34"/>
      <c r="J79" s="34"/>
      <c r="K79" s="34">
        <v>6912.09</v>
      </c>
      <c r="L79" s="34"/>
      <c r="M79" s="36">
        <f>(+K79)*M$5</f>
        <v>148.60993499999998</v>
      </c>
      <c r="N79" s="36">
        <f>(+K79)*N$5</f>
        <v>34.560450000000003</v>
      </c>
      <c r="O79" s="36">
        <f>+K79-M79-N79+P79</f>
        <v>6728.9196149999998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157.94999999999999</v>
      </c>
      <c r="AA79" s="34"/>
      <c r="AB79" s="34"/>
      <c r="AC79" s="34">
        <v>258.77999999999997</v>
      </c>
      <c r="AD79" s="38"/>
      <c r="AE79" s="38"/>
      <c r="AF79" s="34">
        <v>1222.6199999999999</v>
      </c>
      <c r="AG79" s="33">
        <f>(AF79*0.8)*0.85</f>
        <v>831.38159999999993</v>
      </c>
      <c r="AH79" s="33">
        <f>(AF79*0.8)*0.15</f>
        <v>146.71439999999998</v>
      </c>
      <c r="AI79" s="33">
        <f>AF79*0.2</f>
        <v>244.524</v>
      </c>
      <c r="AJ79" s="34"/>
      <c r="AK79" s="33">
        <f>(C79-AF79-AJ79)/1.12</f>
        <v>14900.660714285714</v>
      </c>
      <c r="AL79" s="33">
        <f>AK79-SUM(Y79:AC79)</f>
        <v>14483.930714285714</v>
      </c>
      <c r="AM79" s="33">
        <f>+AL79*0.12</f>
        <v>1738.0716857142856</v>
      </c>
      <c r="AN79" s="33">
        <f t="shared" si="123"/>
        <v>16222.002399999999</v>
      </c>
      <c r="AO79" s="39">
        <v>265</v>
      </c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265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265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" thickBot="1">
      <c r="A80" s="42"/>
      <c r="B80" s="43"/>
      <c r="C80" s="44">
        <f>SUBTOTAL(9,C78:C79)</f>
        <v>36440.800000000003</v>
      </c>
      <c r="D80" s="45">
        <f>SUBTOTAL(9,D78:D79)</f>
        <v>23640.400000000001</v>
      </c>
      <c r="E80" s="45">
        <f>SUBTOTAL(9,E78:E79)</f>
        <v>23645</v>
      </c>
      <c r="F80" s="172"/>
      <c r="G80" s="45">
        <f t="shared" ref="G80:P80" si="124">SUBTOTAL(9,G78:G79)</f>
        <v>0</v>
      </c>
      <c r="H80" s="45">
        <f t="shared" si="124"/>
        <v>4.5999999999985448</v>
      </c>
      <c r="I80" s="45"/>
      <c r="J80" s="45">
        <f t="shared" si="124"/>
        <v>0</v>
      </c>
      <c r="K80" s="45"/>
      <c r="L80" s="45">
        <f t="shared" si="124"/>
        <v>0</v>
      </c>
      <c r="M80" s="46">
        <f t="shared" si="124"/>
        <v>264.24359999999996</v>
      </c>
      <c r="N80" s="46">
        <f t="shared" si="124"/>
        <v>61.452000000000005</v>
      </c>
      <c r="O80" s="46">
        <f t="shared" si="124"/>
        <v>11964.704399999999</v>
      </c>
      <c r="P80" s="46">
        <f t="shared" si="124"/>
        <v>0</v>
      </c>
      <c r="Q80" s="47"/>
      <c r="R80" s="45">
        <f t="shared" ref="R80:BQ80" si="125">SUBTOTAL(9,R78:R79)</f>
        <v>0</v>
      </c>
      <c r="S80" s="45">
        <f t="shared" si="125"/>
        <v>0</v>
      </c>
      <c r="T80" s="46">
        <f t="shared" si="125"/>
        <v>0</v>
      </c>
      <c r="U80" s="46">
        <f t="shared" si="125"/>
        <v>0</v>
      </c>
      <c r="V80" s="46">
        <f t="shared" si="125"/>
        <v>0</v>
      </c>
      <c r="W80" s="46">
        <f t="shared" si="12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25"/>
        <v>1706.1268</v>
      </c>
      <c r="AH80" s="44">
        <f t="shared" si="125"/>
        <v>301.08119999999997</v>
      </c>
      <c r="AI80" s="44">
        <f t="shared" si="125"/>
        <v>501.80200000000002</v>
      </c>
      <c r="AJ80" s="45">
        <f t="shared" si="125"/>
        <v>0</v>
      </c>
      <c r="AK80" s="44">
        <f t="shared" si="125"/>
        <v>30296.241071428569</v>
      </c>
      <c r="AL80" s="44">
        <f t="shared" si="125"/>
        <v>29786.241071428569</v>
      </c>
      <c r="AM80" s="44">
        <f t="shared" si="125"/>
        <v>3574.3489285714281</v>
      </c>
      <c r="AN80" s="44">
        <f t="shared" si="123"/>
        <v>33360.589999999997</v>
      </c>
      <c r="AO80" s="49">
        <f t="shared" si="125"/>
        <v>265</v>
      </c>
      <c r="AP80" s="49">
        <f t="shared" si="125"/>
        <v>0</v>
      </c>
      <c r="AQ80" s="49">
        <f t="shared" si="125"/>
        <v>0</v>
      </c>
      <c r="AR80" s="49">
        <f t="shared" si="125"/>
        <v>0</v>
      </c>
      <c r="AS80" s="49">
        <f t="shared" si="125"/>
        <v>0</v>
      </c>
      <c r="AT80" s="49">
        <f t="shared" si="125"/>
        <v>0</v>
      </c>
      <c r="AU80" s="49">
        <f>SUBTOTAL(9,AU78:AU79)</f>
        <v>0</v>
      </c>
      <c r="AV80" s="49">
        <f t="shared" si="125"/>
        <v>0</v>
      </c>
      <c r="AW80" s="49">
        <f t="shared" si="125"/>
        <v>0</v>
      </c>
      <c r="AX80" s="49">
        <f t="shared" si="125"/>
        <v>0</v>
      </c>
      <c r="AY80" s="49">
        <f t="shared" si="125"/>
        <v>0</v>
      </c>
      <c r="AZ80" s="44">
        <f t="shared" si="125"/>
        <v>265</v>
      </c>
      <c r="BA80" s="48">
        <f t="shared" si="125"/>
        <v>0</v>
      </c>
      <c r="BB80" s="48">
        <f t="shared" si="125"/>
        <v>0</v>
      </c>
      <c r="BC80" s="44">
        <f t="shared" si="125"/>
        <v>0</v>
      </c>
      <c r="BD80" s="44">
        <f t="shared" si="125"/>
        <v>0</v>
      </c>
      <c r="BE80" s="49">
        <f t="shared" si="125"/>
        <v>0</v>
      </c>
      <c r="BF80" s="49">
        <f>SUBTOTAL(9,BF78:BF79)</f>
        <v>0</v>
      </c>
      <c r="BG80" s="49">
        <f t="shared" si="125"/>
        <v>0</v>
      </c>
      <c r="BH80" s="49">
        <f t="shared" si="125"/>
        <v>0</v>
      </c>
      <c r="BI80" s="49">
        <f t="shared" si="125"/>
        <v>0</v>
      </c>
      <c r="BJ80" s="49">
        <f t="shared" si="125"/>
        <v>0</v>
      </c>
      <c r="BK80" s="49">
        <f t="shared" si="125"/>
        <v>0</v>
      </c>
      <c r="BL80" s="49">
        <f t="shared" si="125"/>
        <v>0</v>
      </c>
      <c r="BM80" s="49">
        <f t="shared" si="125"/>
        <v>0</v>
      </c>
      <c r="BN80" s="49">
        <f t="shared" si="125"/>
        <v>0</v>
      </c>
      <c r="BO80" s="49">
        <f t="shared" si="125"/>
        <v>0</v>
      </c>
      <c r="BP80" s="49">
        <f t="shared" si="125"/>
        <v>0</v>
      </c>
      <c r="BQ80" s="49">
        <f t="shared" si="125"/>
        <v>0</v>
      </c>
      <c r="BR80" s="44">
        <f>SUBTOTAL(9,BR78:BR79)</f>
        <v>265</v>
      </c>
    </row>
    <row r="81" spans="1:97">
      <c r="A81" s="192">
        <f>+A78+1</f>
        <v>43306</v>
      </c>
      <c r="B81" s="16" t="s">
        <v>43</v>
      </c>
      <c r="C81" s="33">
        <v>15274.14</v>
      </c>
      <c r="D81" s="34">
        <v>10001.120000000001</v>
      </c>
      <c r="E81" s="34">
        <v>10005</v>
      </c>
      <c r="F81" s="171">
        <v>43306</v>
      </c>
      <c r="G81" s="33">
        <f>IF(E81-D81&lt;0,E81-D81,0)*-1</f>
        <v>0</v>
      </c>
      <c r="H81" s="33">
        <f>IF(E81-D81&gt;0,E81-D81,0)</f>
        <v>3.8799999999991996</v>
      </c>
      <c r="I81" s="34"/>
      <c r="J81" s="34"/>
      <c r="K81" s="34">
        <v>5157.7700000000004</v>
      </c>
      <c r="L81" s="34"/>
      <c r="M81" s="36">
        <f>(+K81)*M$5</f>
        <v>110.892055</v>
      </c>
      <c r="N81" s="36">
        <f>(+K81)*N$5</f>
        <v>25.788850000000004</v>
      </c>
      <c r="O81" s="36">
        <f>+K81-M81-N81+P81</f>
        <v>5021.0890950000003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>
        <f>57+14.5</f>
        <v>71.5</v>
      </c>
      <c r="AA81" s="34"/>
      <c r="AB81" s="34"/>
      <c r="AC81" s="34">
        <v>43.75</v>
      </c>
      <c r="AD81" s="38"/>
      <c r="AE81" s="38"/>
      <c r="AF81" s="34">
        <v>1200.3900000000001</v>
      </c>
      <c r="AG81" s="33">
        <f>(AF81*0.8)*0.85</f>
        <v>816.26520000000005</v>
      </c>
      <c r="AH81" s="33">
        <f>(AF81*0.8)*0.15</f>
        <v>144.04680000000002</v>
      </c>
      <c r="AI81" s="33">
        <f>AF81*0.2</f>
        <v>240.07800000000003</v>
      </c>
      <c r="AJ81" s="34"/>
      <c r="AK81" s="33">
        <f t="shared" ref="AK81:AK82" si="126">(C81-AF81-AJ81)/1.12</f>
        <v>12565.848214285714</v>
      </c>
      <c r="AL81" s="33">
        <f t="shared" ref="AL81:AL82" si="127">AK81-SUM(Y81:AC81)</f>
        <v>12450.598214285714</v>
      </c>
      <c r="AM81" s="33">
        <f t="shared" ref="AM81:AM82" si="128">+AL81*0.12</f>
        <v>1494.0717857142856</v>
      </c>
      <c r="AN81" s="33">
        <f t="shared" ref="AN81:AN82" si="129">+AM81+AL81+AJ81</f>
        <v>13944.67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" thickBot="1">
      <c r="A82" s="193"/>
      <c r="B82" s="16" t="s">
        <v>44</v>
      </c>
      <c r="C82" s="33">
        <v>15751.97</v>
      </c>
      <c r="D82" s="34">
        <v>13267.75</v>
      </c>
      <c r="E82" s="34">
        <v>13268</v>
      </c>
      <c r="F82" s="171">
        <v>43307</v>
      </c>
      <c r="G82" s="33">
        <f>IF(E82-D82&lt;0,E82-D82,0)*-1</f>
        <v>0</v>
      </c>
      <c r="H82" s="33">
        <f>IF(E82-D82&gt;0,E82-D82,0)</f>
        <v>0.25</v>
      </c>
      <c r="I82" s="34"/>
      <c r="J82" s="34"/>
      <c r="K82" s="34">
        <v>2383.6999999999998</v>
      </c>
      <c r="L82" s="34"/>
      <c r="M82" s="36">
        <f>(+K82)*M$5</f>
        <v>51.249549999999992</v>
      </c>
      <c r="N82" s="36">
        <f>(+K82)*N$5</f>
        <v>11.9185</v>
      </c>
      <c r="O82" s="36">
        <f>+K82-M82-N82+P82</f>
        <v>2320.5319499999996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100.55</v>
      </c>
      <c r="AA82" s="34"/>
      <c r="AB82" s="34"/>
      <c r="AC82" s="34"/>
      <c r="AD82" s="38"/>
      <c r="AE82" s="38"/>
      <c r="AF82" s="34">
        <v>1150.97</v>
      </c>
      <c r="AG82" s="33">
        <f>(AF82*0.8)*0.85</f>
        <v>782.65960000000007</v>
      </c>
      <c r="AH82" s="33">
        <f>(AF82*0.8)*0.15</f>
        <v>138.1164</v>
      </c>
      <c r="AI82" s="33">
        <f>AF82*0.2</f>
        <v>230.19400000000002</v>
      </c>
      <c r="AJ82" s="34"/>
      <c r="AK82" s="33">
        <f t="shared" si="126"/>
        <v>13036.607142857141</v>
      </c>
      <c r="AL82" s="33">
        <f t="shared" si="127"/>
        <v>12936.057142857142</v>
      </c>
      <c r="AM82" s="33">
        <f t="shared" si="128"/>
        <v>1552.3268571428571</v>
      </c>
      <c r="AN82" s="33">
        <f t="shared" si="129"/>
        <v>14488.383999999998</v>
      </c>
      <c r="AO82" s="39"/>
      <c r="AP82" s="40">
        <v>180</v>
      </c>
      <c r="AQ82" s="40">
        <v>180</v>
      </c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360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360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" thickBot="1">
      <c r="A83" s="42"/>
      <c r="B83" s="43"/>
      <c r="C83" s="44">
        <f>SUBTOTAL(9,C81:C82)</f>
        <v>31026.11</v>
      </c>
      <c r="D83" s="45">
        <f>SUBTOTAL(9,D81:D82)</f>
        <v>23268.870000000003</v>
      </c>
      <c r="E83" s="45">
        <f>SUBTOTAL(9,E81:E82)</f>
        <v>23273</v>
      </c>
      <c r="F83" s="172"/>
      <c r="G83" s="45">
        <f t="shared" ref="G83:P83" si="130">SUBTOTAL(9,G81:G82)</f>
        <v>0</v>
      </c>
      <c r="H83" s="45">
        <f t="shared" si="130"/>
        <v>4.1299999999991996</v>
      </c>
      <c r="I83" s="45">
        <f t="shared" si="130"/>
        <v>0</v>
      </c>
      <c r="J83" s="45">
        <f t="shared" si="130"/>
        <v>0</v>
      </c>
      <c r="K83" s="45"/>
      <c r="L83" s="45">
        <f t="shared" si="130"/>
        <v>0</v>
      </c>
      <c r="M83" s="46">
        <f t="shared" si="130"/>
        <v>162.141605</v>
      </c>
      <c r="N83" s="46">
        <f t="shared" si="130"/>
        <v>37.707350000000005</v>
      </c>
      <c r="O83" s="46">
        <f t="shared" si="130"/>
        <v>7341.6210449999999</v>
      </c>
      <c r="P83" s="46">
        <f t="shared" si="130"/>
        <v>0</v>
      </c>
      <c r="Q83" s="47"/>
      <c r="R83" s="45">
        <f t="shared" ref="R83:BQ83" si="131">SUBTOTAL(9,R81:R82)</f>
        <v>0</v>
      </c>
      <c r="S83" s="45">
        <f t="shared" si="131"/>
        <v>0</v>
      </c>
      <c r="T83" s="46">
        <f t="shared" si="131"/>
        <v>0</v>
      </c>
      <c r="U83" s="46">
        <f t="shared" si="131"/>
        <v>0</v>
      </c>
      <c r="V83" s="46">
        <f t="shared" si="131"/>
        <v>0</v>
      </c>
      <c r="W83" s="46">
        <f t="shared" si="131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31"/>
        <v>1598.9248000000002</v>
      </c>
      <c r="AH83" s="44">
        <f t="shared" si="131"/>
        <v>282.16320000000002</v>
      </c>
      <c r="AI83" s="44">
        <f t="shared" si="131"/>
        <v>470.27200000000005</v>
      </c>
      <c r="AJ83" s="45">
        <f t="shared" si="131"/>
        <v>0</v>
      </c>
      <c r="AK83" s="44">
        <f t="shared" si="131"/>
        <v>25602.455357142855</v>
      </c>
      <c r="AL83" s="44">
        <f t="shared" si="131"/>
        <v>25386.655357142856</v>
      </c>
      <c r="AM83" s="44">
        <f t="shared" si="131"/>
        <v>3046.3986428571425</v>
      </c>
      <c r="AN83" s="44">
        <f t="shared" si="123"/>
        <v>28433.053999999996</v>
      </c>
      <c r="AO83" s="49">
        <f t="shared" si="131"/>
        <v>0</v>
      </c>
      <c r="AP83" s="49">
        <f t="shared" si="131"/>
        <v>180</v>
      </c>
      <c r="AQ83" s="49">
        <f t="shared" si="131"/>
        <v>180</v>
      </c>
      <c r="AR83" s="49">
        <f t="shared" si="131"/>
        <v>0</v>
      </c>
      <c r="AS83" s="49">
        <f t="shared" si="131"/>
        <v>0</v>
      </c>
      <c r="AT83" s="49">
        <f t="shared" si="131"/>
        <v>0</v>
      </c>
      <c r="AU83" s="49">
        <f>SUBTOTAL(9,AU81:AU82)</f>
        <v>0</v>
      </c>
      <c r="AV83" s="49">
        <f t="shared" si="131"/>
        <v>0</v>
      </c>
      <c r="AW83" s="49">
        <f t="shared" si="131"/>
        <v>0</v>
      </c>
      <c r="AX83" s="49">
        <f t="shared" si="131"/>
        <v>0</v>
      </c>
      <c r="AY83" s="49">
        <f t="shared" si="131"/>
        <v>0</v>
      </c>
      <c r="AZ83" s="44">
        <f t="shared" si="131"/>
        <v>360</v>
      </c>
      <c r="BA83" s="48" t="s">
        <v>1</v>
      </c>
      <c r="BB83" s="48">
        <f t="shared" si="131"/>
        <v>0</v>
      </c>
      <c r="BC83" s="44">
        <f t="shared" si="131"/>
        <v>0</v>
      </c>
      <c r="BD83" s="44">
        <f t="shared" si="131"/>
        <v>0</v>
      </c>
      <c r="BE83" s="49">
        <f t="shared" si="131"/>
        <v>0</v>
      </c>
      <c r="BF83" s="49">
        <f>SUBTOTAL(9,BF81:BF82)</f>
        <v>0</v>
      </c>
      <c r="BG83" s="49"/>
      <c r="BH83" s="49">
        <f t="shared" si="131"/>
        <v>0</v>
      </c>
      <c r="BI83" s="49">
        <f t="shared" si="131"/>
        <v>0</v>
      </c>
      <c r="BJ83" s="49">
        <f t="shared" si="131"/>
        <v>0</v>
      </c>
      <c r="BK83" s="49">
        <f t="shared" si="131"/>
        <v>0</v>
      </c>
      <c r="BL83" s="49">
        <f t="shared" si="131"/>
        <v>0</v>
      </c>
      <c r="BM83" s="49">
        <f t="shared" si="131"/>
        <v>0</v>
      </c>
      <c r="BN83" s="49">
        <f t="shared" si="131"/>
        <v>0</v>
      </c>
      <c r="BO83" s="49">
        <f t="shared" si="131"/>
        <v>0</v>
      </c>
      <c r="BP83" s="49">
        <f t="shared" si="131"/>
        <v>0</v>
      </c>
      <c r="BQ83" s="49">
        <f t="shared" si="131"/>
        <v>0</v>
      </c>
      <c r="BR83" s="44">
        <f>SUBTOTAL(9,BR81:BR82)</f>
        <v>360</v>
      </c>
    </row>
    <row r="84" spans="1:97">
      <c r="A84" s="192">
        <f>+A81+1</f>
        <v>43307</v>
      </c>
      <c r="B84" s="32" t="s">
        <v>43</v>
      </c>
      <c r="C84" s="33">
        <v>16056.14</v>
      </c>
      <c r="D84" s="34">
        <v>12303.95</v>
      </c>
      <c r="E84" s="34">
        <v>12304</v>
      </c>
      <c r="F84" s="171">
        <v>43307</v>
      </c>
      <c r="G84" s="33">
        <f>IF(E84-D84&lt;0,E84-D84,0)*-1</f>
        <v>0</v>
      </c>
      <c r="H84" s="33">
        <f>IF(E84-D84&gt;0,E84-D84,0)</f>
        <v>4.9999999999272404E-2</v>
      </c>
      <c r="I84" s="34"/>
      <c r="J84" s="34"/>
      <c r="K84" s="34">
        <v>3388.32</v>
      </c>
      <c r="L84" s="34"/>
      <c r="M84" s="36">
        <f>(+K84)*M$5</f>
        <v>72.848879999999994</v>
      </c>
      <c r="N84" s="36">
        <f>(+K84)*N$5</f>
        <v>16.941600000000001</v>
      </c>
      <c r="O84" s="36">
        <f>+K84-M84-N84+P84</f>
        <v>3298.52952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88.5</v>
      </c>
      <c r="AA84" s="34"/>
      <c r="AB84" s="34"/>
      <c r="AC84" s="34">
        <v>275.37</v>
      </c>
      <c r="AD84" s="38"/>
      <c r="AE84" s="38"/>
      <c r="AF84" s="34">
        <v>1266.3599999999999</v>
      </c>
      <c r="AG84" s="33">
        <f>(AF84*0.8)*0.85</f>
        <v>861.12479999999994</v>
      </c>
      <c r="AH84" s="33">
        <f>(AF84*0.8)*0.15</f>
        <v>151.9632</v>
      </c>
      <c r="AI84" s="33">
        <f>AF84*0.2</f>
        <v>253.27199999999999</v>
      </c>
      <c r="AJ84" s="34"/>
      <c r="AK84" s="33">
        <f t="shared" ref="AK84:AK85" si="132">(C84-AF84-AJ84)/1.12</f>
        <v>13205.160714285712</v>
      </c>
      <c r="AL84" s="33">
        <f t="shared" ref="AL84:AL85" si="133">AK84-SUM(Y84:AC84)</f>
        <v>12841.290714285711</v>
      </c>
      <c r="AM84" s="33">
        <f t="shared" ref="AM84:AM85" si="134">+AL84*0.12</f>
        <v>1540.9548857142852</v>
      </c>
      <c r="AN84" s="33">
        <f t="shared" si="123"/>
        <v>14382.245599999997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" thickBot="1">
      <c r="A85" s="193"/>
      <c r="B85" s="15" t="s">
        <v>44</v>
      </c>
      <c r="C85" s="33">
        <v>39414.480000000003</v>
      </c>
      <c r="D85" s="34">
        <v>15555.62</v>
      </c>
      <c r="E85" s="34">
        <v>15560</v>
      </c>
      <c r="F85" s="171">
        <v>43307</v>
      </c>
      <c r="G85" s="33">
        <f>IF(E85-D85&lt;0,E85-D85,0)*-1</f>
        <v>0</v>
      </c>
      <c r="H85" s="33">
        <f>IF(E85-D85&gt;0,E85-D85,0)</f>
        <v>4.3799999999991996</v>
      </c>
      <c r="I85" s="34">
        <v>400</v>
      </c>
      <c r="J85" s="34"/>
      <c r="K85" s="34">
        <v>8736.7099999999991</v>
      </c>
      <c r="L85" s="34"/>
      <c r="M85" s="36">
        <f>(+K85)*M$5</f>
        <v>187.83926499999995</v>
      </c>
      <c r="N85" s="36">
        <f>(+K85)*N$5</f>
        <v>43.683549999999997</v>
      </c>
      <c r="O85" s="36">
        <f>+K85-M85-N85+P85</f>
        <v>8505.1871849999989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109.65</v>
      </c>
      <c r="AA85" s="34"/>
      <c r="AB85" s="34"/>
      <c r="AC85" s="34">
        <v>212.5</v>
      </c>
      <c r="AD85" s="38" t="s">
        <v>158</v>
      </c>
      <c r="AE85" s="38">
        <v>14400</v>
      </c>
      <c r="AF85" s="34">
        <v>3121.56</v>
      </c>
      <c r="AG85" s="33">
        <f>(AF85*0.8)*0.85</f>
        <v>2122.6608000000001</v>
      </c>
      <c r="AH85" s="33">
        <f>(AF85*0.8)*0.15</f>
        <v>374.5872</v>
      </c>
      <c r="AI85" s="33">
        <f>AF85*0.2</f>
        <v>624.31200000000001</v>
      </c>
      <c r="AJ85" s="34"/>
      <c r="AK85" s="33">
        <f t="shared" si="132"/>
        <v>32404.392857142859</v>
      </c>
      <c r="AL85" s="33">
        <f t="shared" si="133"/>
        <v>32082.242857142857</v>
      </c>
      <c r="AM85" s="33">
        <f t="shared" si="134"/>
        <v>3849.8691428571428</v>
      </c>
      <c r="AN85" s="33">
        <f t="shared" si="123"/>
        <v>35932.112000000001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" thickBot="1">
      <c r="A86" s="42"/>
      <c r="B86" s="43"/>
      <c r="C86" s="44">
        <f>SUBTOTAL(9,C84:C85)</f>
        <v>55470.62</v>
      </c>
      <c r="D86" s="45">
        <f>SUBTOTAL(9,D84:D85)</f>
        <v>27859.57</v>
      </c>
      <c r="E86" s="45">
        <f>SUBTOTAL(9,E84:E85)</f>
        <v>27864</v>
      </c>
      <c r="F86" s="172"/>
      <c r="G86" s="45">
        <f t="shared" ref="G86:P86" si="135">SUBTOTAL(9,G84:G85)</f>
        <v>0</v>
      </c>
      <c r="H86" s="45">
        <f t="shared" si="135"/>
        <v>4.429999999998472</v>
      </c>
      <c r="I86" s="45">
        <f t="shared" si="135"/>
        <v>400</v>
      </c>
      <c r="J86" s="45">
        <f t="shared" si="135"/>
        <v>0</v>
      </c>
      <c r="K86" s="45"/>
      <c r="L86" s="45">
        <f t="shared" si="135"/>
        <v>0</v>
      </c>
      <c r="M86" s="46">
        <f t="shared" si="135"/>
        <v>260.68814499999996</v>
      </c>
      <c r="N86" s="46">
        <f t="shared" si="135"/>
        <v>60.625149999999998</v>
      </c>
      <c r="O86" s="46">
        <f t="shared" si="135"/>
        <v>11803.716704999999</v>
      </c>
      <c r="P86" s="46">
        <f t="shared" si="135"/>
        <v>0</v>
      </c>
      <c r="Q86" s="47"/>
      <c r="R86" s="45">
        <f t="shared" ref="R86:BQ86" si="136">SUBTOTAL(9,R84:R85)</f>
        <v>0</v>
      </c>
      <c r="S86" s="45">
        <f t="shared" si="136"/>
        <v>0</v>
      </c>
      <c r="T86" s="46">
        <f t="shared" si="136"/>
        <v>0</v>
      </c>
      <c r="U86" s="46">
        <f t="shared" si="136"/>
        <v>0</v>
      </c>
      <c r="V86" s="46">
        <f t="shared" si="136"/>
        <v>0</v>
      </c>
      <c r="W86" s="46">
        <f t="shared" si="136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36"/>
        <v>2983.7856000000002</v>
      </c>
      <c r="AH86" s="44">
        <f t="shared" si="136"/>
        <v>526.55039999999997</v>
      </c>
      <c r="AI86" s="44">
        <f t="shared" si="136"/>
        <v>877.58400000000006</v>
      </c>
      <c r="AJ86" s="45">
        <f t="shared" si="136"/>
        <v>0</v>
      </c>
      <c r="AK86" s="44">
        <f t="shared" si="136"/>
        <v>45609.553571428572</v>
      </c>
      <c r="AL86" s="44">
        <f t="shared" si="136"/>
        <v>44923.533571428568</v>
      </c>
      <c r="AM86" s="44">
        <f t="shared" si="136"/>
        <v>5390.8240285714282</v>
      </c>
      <c r="AN86" s="44">
        <f t="shared" si="123"/>
        <v>50314.357599999996</v>
      </c>
      <c r="AO86" s="49">
        <f t="shared" si="136"/>
        <v>0</v>
      </c>
      <c r="AP86" s="49">
        <f t="shared" si="136"/>
        <v>0</v>
      </c>
      <c r="AQ86" s="49">
        <f t="shared" si="136"/>
        <v>0</v>
      </c>
      <c r="AR86" s="49">
        <f t="shared" si="136"/>
        <v>0</v>
      </c>
      <c r="AS86" s="49">
        <f t="shared" si="136"/>
        <v>0</v>
      </c>
      <c r="AT86" s="49">
        <f t="shared" si="136"/>
        <v>0</v>
      </c>
      <c r="AU86" s="49">
        <f>SUBTOTAL(9,AU84:AU85)</f>
        <v>0</v>
      </c>
      <c r="AV86" s="49">
        <f t="shared" si="136"/>
        <v>0</v>
      </c>
      <c r="AW86" s="49">
        <f t="shared" si="136"/>
        <v>0</v>
      </c>
      <c r="AX86" s="49">
        <f t="shared" si="136"/>
        <v>0</v>
      </c>
      <c r="AY86" s="49">
        <f t="shared" si="136"/>
        <v>0</v>
      </c>
      <c r="AZ86" s="44">
        <f t="shared" si="136"/>
        <v>0</v>
      </c>
      <c r="BA86" s="48">
        <f t="shared" si="136"/>
        <v>0</v>
      </c>
      <c r="BB86" s="48">
        <f t="shared" si="136"/>
        <v>0</v>
      </c>
      <c r="BC86" s="44">
        <f t="shared" si="136"/>
        <v>0</v>
      </c>
      <c r="BD86" s="44">
        <f t="shared" si="136"/>
        <v>0</v>
      </c>
      <c r="BE86" s="49">
        <f t="shared" si="136"/>
        <v>0</v>
      </c>
      <c r="BF86" s="49">
        <f>SUBTOTAL(9,BF84:BF85)</f>
        <v>0</v>
      </c>
      <c r="BG86" s="49">
        <f t="shared" si="136"/>
        <v>0</v>
      </c>
      <c r="BH86" s="49">
        <f t="shared" si="136"/>
        <v>0</v>
      </c>
      <c r="BI86" s="49">
        <f t="shared" si="136"/>
        <v>0</v>
      </c>
      <c r="BJ86" s="49">
        <f t="shared" si="136"/>
        <v>0</v>
      </c>
      <c r="BK86" s="49">
        <f t="shared" si="136"/>
        <v>0</v>
      </c>
      <c r="BL86" s="49">
        <f t="shared" si="136"/>
        <v>0</v>
      </c>
      <c r="BM86" s="49">
        <f t="shared" si="136"/>
        <v>0</v>
      </c>
      <c r="BN86" s="49">
        <f t="shared" si="136"/>
        <v>0</v>
      </c>
      <c r="BO86" s="49">
        <f t="shared" si="136"/>
        <v>0</v>
      </c>
      <c r="BP86" s="49">
        <f t="shared" si="136"/>
        <v>0</v>
      </c>
      <c r="BQ86" s="49">
        <f t="shared" si="136"/>
        <v>0</v>
      </c>
      <c r="BR86" s="44">
        <f>SUBTOTAL(9,BR84:BR85)</f>
        <v>0</v>
      </c>
    </row>
    <row r="87" spans="1:97">
      <c r="A87" s="192">
        <f>+A84+1</f>
        <v>43308</v>
      </c>
      <c r="B87" s="15" t="s">
        <v>43</v>
      </c>
      <c r="C87" s="33">
        <v>24322.77</v>
      </c>
      <c r="D87" s="34">
        <v>19330.89</v>
      </c>
      <c r="E87" s="34">
        <v>19332</v>
      </c>
      <c r="F87" s="171">
        <v>43308</v>
      </c>
      <c r="G87" s="33">
        <f>IF(E87-D87&lt;0,E87-D87,0)*-1</f>
        <v>0</v>
      </c>
      <c r="H87" s="33">
        <f>IF(E87-D87&gt;0,E87-D87,0)</f>
        <v>1.1100000000005821</v>
      </c>
      <c r="I87" s="34"/>
      <c r="J87" s="34"/>
      <c r="K87" s="34">
        <v>4852.8599999999997</v>
      </c>
      <c r="L87" s="34"/>
      <c r="M87" s="36">
        <f>(+K87)*M$5</f>
        <v>104.33648999999998</v>
      </c>
      <c r="N87" s="36">
        <f>(+K87)*N$5</f>
        <v>24.264299999999999</v>
      </c>
      <c r="O87" s="36">
        <f>+K87-M87-N87+P87</f>
        <v>4724.2592100000002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v>103.75</v>
      </c>
      <c r="AA87" s="34"/>
      <c r="AB87" s="34"/>
      <c r="AC87" s="34">
        <v>35.270000000000003</v>
      </c>
      <c r="AD87" s="38"/>
      <c r="AE87" s="38"/>
      <c r="AF87" s="34">
        <v>1752.93</v>
      </c>
      <c r="AG87" s="33">
        <f>(AF87*0.8)*0.85</f>
        <v>1191.9924000000001</v>
      </c>
      <c r="AH87" s="33">
        <f>(AF87*0.8)*0.15</f>
        <v>210.35159999999999</v>
      </c>
      <c r="AI87" s="33">
        <f>AF87*0.2</f>
        <v>350.58600000000001</v>
      </c>
      <c r="AJ87" s="34"/>
      <c r="AK87" s="33">
        <f t="shared" ref="AK87:AK88" si="137">(C87-AF87-AJ87)/1.12</f>
        <v>20151.642857142855</v>
      </c>
      <c r="AL87" s="33">
        <f t="shared" ref="AL87:AL88" si="138">AK87-SUM(Y87:AC87)</f>
        <v>20012.622857142855</v>
      </c>
      <c r="AM87" s="33">
        <f t="shared" ref="AM87:AM88" si="139">+AL87*0.12</f>
        <v>2401.5147428571427</v>
      </c>
      <c r="AN87" s="33">
        <f t="shared" ref="AN87:AN88" si="140">+AM87+AL87+AJ87</f>
        <v>22414.137599999998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" thickBot="1">
      <c r="A88" s="193"/>
      <c r="B88" s="15" t="s">
        <v>44</v>
      </c>
      <c r="C88" s="33">
        <v>23872.02</v>
      </c>
      <c r="D88" s="34">
        <v>17884.599999999999</v>
      </c>
      <c r="E88" s="34">
        <v>17885</v>
      </c>
      <c r="F88" s="171">
        <v>43311</v>
      </c>
      <c r="G88" s="33">
        <f>IF(E88-D88&lt;0,E88-D88,0)*-1</f>
        <v>0</v>
      </c>
      <c r="H88" s="33">
        <f>IF(E88-D88&gt;0,E88-D88,0)</f>
        <v>0.40000000000145519</v>
      </c>
      <c r="I88" s="34"/>
      <c r="J88" s="34"/>
      <c r="K88" s="34">
        <v>5680.31</v>
      </c>
      <c r="L88" s="34"/>
      <c r="M88" s="36">
        <f>(+K88)*M$5</f>
        <v>122.126665</v>
      </c>
      <c r="N88" s="36">
        <f>(+K88)*N$5</f>
        <v>28.401550000000004</v>
      </c>
      <c r="O88" s="36">
        <f>+K88-M88-N88+P88</f>
        <v>5529.781785000001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189.3</v>
      </c>
      <c r="AA88" s="34">
        <v>6.5</v>
      </c>
      <c r="AB88" s="34"/>
      <c r="AC88" s="34">
        <v>111.31</v>
      </c>
      <c r="AD88" s="38"/>
      <c r="AE88" s="38"/>
      <c r="AF88" s="34">
        <v>1904.8</v>
      </c>
      <c r="AG88" s="33">
        <f>(AF88*0.8)*0.85</f>
        <v>1295.2640000000001</v>
      </c>
      <c r="AH88" s="33">
        <f>(AF88*0.8)*0.15</f>
        <v>228.57600000000002</v>
      </c>
      <c r="AI88" s="33">
        <f>AF88*0.2</f>
        <v>380.96000000000004</v>
      </c>
      <c r="AJ88" s="34"/>
      <c r="AK88" s="33">
        <f t="shared" si="137"/>
        <v>19613.589285714286</v>
      </c>
      <c r="AL88" s="33">
        <f t="shared" si="138"/>
        <v>19306.479285714286</v>
      </c>
      <c r="AM88" s="33">
        <f t="shared" si="139"/>
        <v>2316.777514285714</v>
      </c>
      <c r="AN88" s="33">
        <f t="shared" si="140"/>
        <v>21623.256799999999</v>
      </c>
      <c r="AO88" s="39">
        <v>130</v>
      </c>
      <c r="AP88" s="40"/>
      <c r="AQ88" s="40"/>
      <c r="AR88" s="40">
        <v>380</v>
      </c>
      <c r="AS88" s="40"/>
      <c r="AT88" s="40"/>
      <c r="AU88" s="40"/>
      <c r="AV88" s="40"/>
      <c r="AW88" s="40"/>
      <c r="AX88" s="40"/>
      <c r="AY88" s="40"/>
      <c r="AZ88" s="33">
        <f>SUM(AO88:AY88)</f>
        <v>510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510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" thickBot="1">
      <c r="A89" s="42"/>
      <c r="B89" s="43"/>
      <c r="C89" s="44">
        <f>SUBTOTAL(9,C87:C88)</f>
        <v>48194.79</v>
      </c>
      <c r="D89" s="45">
        <f>SUBTOTAL(9,D87:D88)</f>
        <v>37215.49</v>
      </c>
      <c r="E89" s="45">
        <f>SUBTOTAL(9,E87:E88)</f>
        <v>37217</v>
      </c>
      <c r="F89" s="172"/>
      <c r="G89" s="45">
        <f t="shared" ref="G89:P89" si="141">SUBTOTAL(9,G87:G88)</f>
        <v>0</v>
      </c>
      <c r="H89" s="45">
        <f t="shared" si="141"/>
        <v>1.5100000000020373</v>
      </c>
      <c r="I89" s="45">
        <f t="shared" si="141"/>
        <v>0</v>
      </c>
      <c r="J89" s="45">
        <f t="shared" si="141"/>
        <v>0</v>
      </c>
      <c r="K89" s="45"/>
      <c r="L89" s="45">
        <f t="shared" si="141"/>
        <v>0</v>
      </c>
      <c r="M89" s="46">
        <f t="shared" si="141"/>
        <v>226.46315499999997</v>
      </c>
      <c r="N89" s="46">
        <f t="shared" si="141"/>
        <v>52.665850000000006</v>
      </c>
      <c r="O89" s="46">
        <f t="shared" si="141"/>
        <v>10254.040995000001</v>
      </c>
      <c r="P89" s="46">
        <f t="shared" si="141"/>
        <v>0</v>
      </c>
      <c r="Q89" s="47"/>
      <c r="R89" s="45">
        <f t="shared" ref="R89:BQ89" si="142">SUBTOTAL(9,R87:R88)</f>
        <v>0</v>
      </c>
      <c r="S89" s="45">
        <f t="shared" si="142"/>
        <v>0</v>
      </c>
      <c r="T89" s="46">
        <f t="shared" si="142"/>
        <v>0</v>
      </c>
      <c r="U89" s="46">
        <f t="shared" si="142"/>
        <v>0</v>
      </c>
      <c r="V89" s="46">
        <f t="shared" si="142"/>
        <v>0</v>
      </c>
      <c r="W89" s="46">
        <f t="shared" si="142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42"/>
        <v>2487.2564000000002</v>
      </c>
      <c r="AH89" s="44">
        <f t="shared" si="142"/>
        <v>438.92759999999998</v>
      </c>
      <c r="AI89" s="44">
        <f t="shared" si="142"/>
        <v>731.54600000000005</v>
      </c>
      <c r="AJ89" s="45">
        <f t="shared" si="142"/>
        <v>0</v>
      </c>
      <c r="AK89" s="44">
        <f t="shared" si="142"/>
        <v>39765.232142857145</v>
      </c>
      <c r="AL89" s="44">
        <f t="shared" si="142"/>
        <v>39319.10214285714</v>
      </c>
      <c r="AM89" s="44">
        <f t="shared" si="142"/>
        <v>4718.2922571428571</v>
      </c>
      <c r="AN89" s="44">
        <f t="shared" si="123"/>
        <v>44037.394399999997</v>
      </c>
      <c r="AO89" s="49">
        <f t="shared" si="142"/>
        <v>130</v>
      </c>
      <c r="AP89" s="49">
        <f t="shared" si="142"/>
        <v>0</v>
      </c>
      <c r="AQ89" s="49">
        <f t="shared" si="142"/>
        <v>0</v>
      </c>
      <c r="AR89" s="49">
        <f t="shared" si="142"/>
        <v>380</v>
      </c>
      <c r="AS89" s="49">
        <f t="shared" si="142"/>
        <v>0</v>
      </c>
      <c r="AT89" s="49">
        <f t="shared" si="142"/>
        <v>0</v>
      </c>
      <c r="AU89" s="49">
        <f>SUBTOTAL(9,AU87:AU88)</f>
        <v>0</v>
      </c>
      <c r="AV89" s="49">
        <f t="shared" si="142"/>
        <v>0</v>
      </c>
      <c r="AW89" s="49">
        <f t="shared" si="142"/>
        <v>0</v>
      </c>
      <c r="AX89" s="49">
        <f t="shared" si="142"/>
        <v>0</v>
      </c>
      <c r="AY89" s="49">
        <f t="shared" si="142"/>
        <v>0</v>
      </c>
      <c r="AZ89" s="44">
        <f t="shared" si="142"/>
        <v>510</v>
      </c>
      <c r="BA89" s="48">
        <f t="shared" si="142"/>
        <v>0</v>
      </c>
      <c r="BB89" s="48">
        <f t="shared" si="142"/>
        <v>0</v>
      </c>
      <c r="BC89" s="44">
        <f t="shared" si="142"/>
        <v>0</v>
      </c>
      <c r="BD89" s="44">
        <f t="shared" si="142"/>
        <v>0</v>
      </c>
      <c r="BE89" s="49">
        <f t="shared" si="142"/>
        <v>0</v>
      </c>
      <c r="BF89" s="49">
        <f>SUBTOTAL(9,BF87:BF88)</f>
        <v>0</v>
      </c>
      <c r="BG89" s="49">
        <f t="shared" si="142"/>
        <v>0</v>
      </c>
      <c r="BH89" s="49">
        <f t="shared" si="142"/>
        <v>0</v>
      </c>
      <c r="BI89" s="49">
        <f t="shared" si="142"/>
        <v>0</v>
      </c>
      <c r="BJ89" s="49">
        <f t="shared" si="142"/>
        <v>0</v>
      </c>
      <c r="BK89" s="49">
        <f t="shared" si="142"/>
        <v>0</v>
      </c>
      <c r="BL89" s="49">
        <f t="shared" si="142"/>
        <v>0</v>
      </c>
      <c r="BM89" s="49">
        <f t="shared" si="142"/>
        <v>0</v>
      </c>
      <c r="BN89" s="49">
        <f t="shared" si="142"/>
        <v>0</v>
      </c>
      <c r="BO89" s="49">
        <f t="shared" si="142"/>
        <v>0</v>
      </c>
      <c r="BP89" s="49">
        <f t="shared" si="142"/>
        <v>0</v>
      </c>
      <c r="BQ89" s="49">
        <f t="shared" si="142"/>
        <v>0</v>
      </c>
      <c r="BR89" s="44">
        <f>SUBTOTAL(9,BR87:BR88)</f>
        <v>510</v>
      </c>
    </row>
    <row r="90" spans="1:97">
      <c r="A90" s="192">
        <f>+A87+1</f>
        <v>43309</v>
      </c>
      <c r="B90" s="16" t="s">
        <v>43</v>
      </c>
      <c r="C90" s="33" t="s">
        <v>156</v>
      </c>
      <c r="D90" s="34"/>
      <c r="E90" s="34"/>
      <c r="F90" s="171"/>
      <c r="G90" s="33">
        <f>IF(E90-D90&lt;0,E90-D90,0)*-1</f>
        <v>0</v>
      </c>
      <c r="H90" s="33">
        <f>IF(E90-D90&gt;0,E90-D90,0)</f>
        <v>0</v>
      </c>
      <c r="I90" s="34"/>
      <c r="J90" s="34"/>
      <c r="K90" s="34"/>
      <c r="L90" s="34"/>
      <c r="M90" s="36">
        <f>(+K90)*M$5</f>
        <v>0</v>
      </c>
      <c r="N90" s="36">
        <f>(+K90)*N$5</f>
        <v>0</v>
      </c>
      <c r="O90" s="36">
        <f>+K90-M90-N90+P90</f>
        <v>0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/>
      <c r="AB90" s="34"/>
      <c r="AC90" s="34"/>
      <c r="AD90" s="38"/>
      <c r="AE90" s="38"/>
      <c r="AF90" s="34"/>
      <c r="AG90" s="33">
        <f>(AF90*0.8)*0.85</f>
        <v>0</v>
      </c>
      <c r="AH90" s="33">
        <f>(AF90*0.8)*0.15</f>
        <v>0</v>
      </c>
      <c r="AI90" s="33">
        <f>AF90*0.2</f>
        <v>0</v>
      </c>
      <c r="AJ90" s="34"/>
      <c r="AK90" s="33">
        <v>0</v>
      </c>
      <c r="AL90" s="33">
        <f t="shared" ref="AL90:AL91" si="143">AK90-SUM(Y90:AC90)</f>
        <v>0</v>
      </c>
      <c r="AM90" s="33">
        <f t="shared" ref="AM90:AM91" si="144">+AL90*0.12</f>
        <v>0</v>
      </c>
      <c r="AN90" s="33">
        <f t="shared" si="123"/>
        <v>0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" thickBot="1">
      <c r="A91" s="193"/>
      <c r="B91" s="16" t="s">
        <v>44</v>
      </c>
      <c r="C91" s="33">
        <v>20412.86</v>
      </c>
      <c r="D91" s="34">
        <v>3485.72</v>
      </c>
      <c r="E91" s="34">
        <v>3486</v>
      </c>
      <c r="F91" s="171">
        <v>43311</v>
      </c>
      <c r="G91" s="33">
        <f>IF(E91-D91&lt;0,E91-D91,0)*-1</f>
        <v>0</v>
      </c>
      <c r="H91" s="33">
        <f>IF(E91-D91&gt;0,E91-D91,0)</f>
        <v>0.28000000000020009</v>
      </c>
      <c r="I91" s="34"/>
      <c r="J91" s="34"/>
      <c r="K91" s="34">
        <v>2527.14</v>
      </c>
      <c r="L91" s="34"/>
      <c r="M91" s="36">
        <f>(+K91)*M$5</f>
        <v>54.33350999999999</v>
      </c>
      <c r="N91" s="36">
        <f>(+K91)*N$5</f>
        <v>12.6357</v>
      </c>
      <c r="O91" s="36">
        <f>+K91-M91-N91+P91</f>
        <v>2460.1707900000001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 t="s">
        <v>158</v>
      </c>
      <c r="AE91" s="38">
        <v>14400</v>
      </c>
      <c r="AF91" s="34">
        <v>1672.43</v>
      </c>
      <c r="AG91" s="33">
        <f>(AF91*0.8)*0.85</f>
        <v>1137.2524000000001</v>
      </c>
      <c r="AH91" s="33">
        <f>(AF91*0.8)*0.15</f>
        <v>200.69160000000002</v>
      </c>
      <c r="AI91" s="33">
        <f>AF91*0.2</f>
        <v>334.48600000000005</v>
      </c>
      <c r="AJ91" s="34"/>
      <c r="AK91" s="33">
        <f t="shared" ref="AK91" si="145">(C91-AF91-AJ91)/1.12</f>
        <v>16732.526785714283</v>
      </c>
      <c r="AL91" s="33">
        <f t="shared" si="143"/>
        <v>16732.526785714283</v>
      </c>
      <c r="AM91" s="33">
        <f t="shared" si="144"/>
        <v>2007.9032142857138</v>
      </c>
      <c r="AN91" s="33">
        <f t="shared" si="123"/>
        <v>18740.429999999997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" thickBot="1">
      <c r="A92" s="42"/>
      <c r="B92" s="43"/>
      <c r="C92" s="44">
        <f>SUBTOTAL(9,C90:C91)</f>
        <v>20412.86</v>
      </c>
      <c r="D92" s="45">
        <f>SUBTOTAL(9,D90:D91)</f>
        <v>3485.72</v>
      </c>
      <c r="E92" s="45">
        <f>SUBTOTAL(9,E90:E91)</f>
        <v>3486</v>
      </c>
      <c r="F92" s="172"/>
      <c r="G92" s="45">
        <f t="shared" ref="G92:P92" si="146">SUBTOTAL(9,G90:G91)</f>
        <v>0</v>
      </c>
      <c r="H92" s="45">
        <f t="shared" si="146"/>
        <v>0.28000000000020009</v>
      </c>
      <c r="I92" s="45">
        <f t="shared" si="146"/>
        <v>0</v>
      </c>
      <c r="J92" s="45">
        <f t="shared" si="146"/>
        <v>0</v>
      </c>
      <c r="K92" s="45"/>
      <c r="L92" s="45">
        <f t="shared" si="146"/>
        <v>0</v>
      </c>
      <c r="M92" s="46">
        <f t="shared" si="146"/>
        <v>54.33350999999999</v>
      </c>
      <c r="N92" s="46">
        <f t="shared" si="146"/>
        <v>12.6357</v>
      </c>
      <c r="O92" s="46">
        <f t="shared" si="146"/>
        <v>2460.1707900000001</v>
      </c>
      <c r="P92" s="46">
        <f t="shared" si="146"/>
        <v>0</v>
      </c>
      <c r="Q92" s="47"/>
      <c r="R92" s="45">
        <f t="shared" ref="R92:BQ92" si="147">SUBTOTAL(9,R90:R91)</f>
        <v>0</v>
      </c>
      <c r="S92" s="45">
        <f t="shared" si="147"/>
        <v>0</v>
      </c>
      <c r="T92" s="46">
        <f t="shared" si="147"/>
        <v>0</v>
      </c>
      <c r="U92" s="46">
        <f t="shared" si="147"/>
        <v>0</v>
      </c>
      <c r="V92" s="46">
        <f t="shared" si="147"/>
        <v>0</v>
      </c>
      <c r="W92" s="46">
        <f t="shared" si="147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47"/>
        <v>1137.2524000000001</v>
      </c>
      <c r="AH92" s="44">
        <f t="shared" si="147"/>
        <v>200.69160000000002</v>
      </c>
      <c r="AI92" s="44">
        <f t="shared" si="147"/>
        <v>334.48600000000005</v>
      </c>
      <c r="AJ92" s="45">
        <f t="shared" si="147"/>
        <v>0</v>
      </c>
      <c r="AK92" s="44">
        <f t="shared" si="147"/>
        <v>16732.526785714283</v>
      </c>
      <c r="AL92" s="44">
        <f t="shared" si="147"/>
        <v>16732.526785714283</v>
      </c>
      <c r="AM92" s="44">
        <f t="shared" si="147"/>
        <v>2007.9032142857138</v>
      </c>
      <c r="AN92" s="44">
        <f t="shared" si="123"/>
        <v>18740.429999999997</v>
      </c>
      <c r="AO92" s="49">
        <f t="shared" si="147"/>
        <v>0</v>
      </c>
      <c r="AP92" s="49">
        <f t="shared" si="147"/>
        <v>0</v>
      </c>
      <c r="AQ92" s="49">
        <f t="shared" si="147"/>
        <v>0</v>
      </c>
      <c r="AR92" s="49">
        <f t="shared" si="147"/>
        <v>0</v>
      </c>
      <c r="AS92" s="49">
        <f t="shared" si="147"/>
        <v>0</v>
      </c>
      <c r="AT92" s="49">
        <f t="shared" si="147"/>
        <v>0</v>
      </c>
      <c r="AU92" s="49">
        <f>SUBTOTAL(9,AU90:AU91)</f>
        <v>0</v>
      </c>
      <c r="AV92" s="49">
        <f t="shared" si="147"/>
        <v>0</v>
      </c>
      <c r="AW92" s="49">
        <f t="shared" si="147"/>
        <v>0</v>
      </c>
      <c r="AX92" s="49">
        <f t="shared" si="147"/>
        <v>0</v>
      </c>
      <c r="AY92" s="49">
        <f t="shared" si="147"/>
        <v>0</v>
      </c>
      <c r="AZ92" s="44">
        <f t="shared" si="147"/>
        <v>0</v>
      </c>
      <c r="BA92" s="48">
        <f t="shared" si="147"/>
        <v>0</v>
      </c>
      <c r="BB92" s="48">
        <f t="shared" si="147"/>
        <v>0</v>
      </c>
      <c r="BC92" s="44">
        <f t="shared" si="147"/>
        <v>0</v>
      </c>
      <c r="BD92" s="44">
        <f t="shared" si="147"/>
        <v>0</v>
      </c>
      <c r="BE92" s="49">
        <f t="shared" si="147"/>
        <v>0</v>
      </c>
      <c r="BF92" s="49">
        <f>SUBTOTAL(9,BF90:BF91)</f>
        <v>0</v>
      </c>
      <c r="BG92" s="49">
        <f t="shared" si="147"/>
        <v>0</v>
      </c>
      <c r="BH92" s="49">
        <f t="shared" si="147"/>
        <v>0</v>
      </c>
      <c r="BI92" s="49">
        <f t="shared" si="147"/>
        <v>0</v>
      </c>
      <c r="BJ92" s="49">
        <f t="shared" si="147"/>
        <v>0</v>
      </c>
      <c r="BK92" s="49">
        <f t="shared" si="147"/>
        <v>0</v>
      </c>
      <c r="BL92" s="49">
        <f t="shared" si="147"/>
        <v>0</v>
      </c>
      <c r="BM92" s="49">
        <f t="shared" si="147"/>
        <v>0</v>
      </c>
      <c r="BN92" s="49">
        <f t="shared" si="147"/>
        <v>0</v>
      </c>
      <c r="BO92" s="49">
        <f t="shared" si="147"/>
        <v>0</v>
      </c>
      <c r="BP92" s="49">
        <f t="shared" si="147"/>
        <v>0</v>
      </c>
      <c r="BQ92" s="49">
        <f t="shared" si="147"/>
        <v>0</v>
      </c>
      <c r="BR92" s="44">
        <f>SUBTOTAL(9,BR90:BR91)</f>
        <v>0</v>
      </c>
    </row>
    <row r="93" spans="1:97">
      <c r="A93" s="192">
        <f>+A90+1</f>
        <v>43310</v>
      </c>
      <c r="B93" s="16" t="s">
        <v>43</v>
      </c>
      <c r="C93" s="33" t="s">
        <v>157</v>
      </c>
      <c r="D93" s="34"/>
      <c r="E93" s="34"/>
      <c r="F93" s="171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v>0</v>
      </c>
      <c r="AL93" s="33">
        <f t="shared" ref="AL93" si="148">AK93-SUM(Y93:AC93)</f>
        <v>0</v>
      </c>
      <c r="AM93" s="33">
        <f t="shared" ref="AM93" si="149">+AL93*0.12</f>
        <v>0</v>
      </c>
      <c r="AN93" s="33">
        <f t="shared" ref="AN93" si="150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" thickBot="1">
      <c r="A94" s="193"/>
      <c r="B94" s="16" t="s">
        <v>44</v>
      </c>
      <c r="C94" s="33"/>
      <c r="D94" s="34"/>
      <c r="E94" s="34"/>
      <c r="F94" s="171"/>
      <c r="G94" s="33">
        <f>IF(E94-D94&lt;0,E94-D94,0)*-1</f>
        <v>0</v>
      </c>
      <c r="H94" s="33">
        <f>IF(E94-D94&gt;0,E94-D94,0)</f>
        <v>0</v>
      </c>
      <c r="I94" s="34"/>
      <c r="J94" s="34"/>
      <c r="K94" s="34"/>
      <c r="L94" s="34"/>
      <c r="M94" s="36">
        <f>(+K94)*M$5</f>
        <v>0</v>
      </c>
      <c r="N94" s="36">
        <f>(+K94)*N$5</f>
        <v>0</v>
      </c>
      <c r="O94" s="36">
        <f>+K94-M94-N94+P94</f>
        <v>0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/>
      <c r="AD94" s="38"/>
      <c r="AE94" s="38"/>
      <c r="AF94" s="34"/>
      <c r="AG94" s="33">
        <f>(AF94*0.8)*0.85</f>
        <v>0</v>
      </c>
      <c r="AH94" s="33">
        <f>(AF94*0.8)*0.15</f>
        <v>0</v>
      </c>
      <c r="AI94" s="33">
        <f>AF94*0.2</f>
        <v>0</v>
      </c>
      <c r="AJ94" s="34"/>
      <c r="AK94" s="33">
        <f>(C94-AF94-AJ94)/1.12</f>
        <v>0</v>
      </c>
      <c r="AL94" s="33">
        <f>AK94-SUM(Y94:AC94)</f>
        <v>0</v>
      </c>
      <c r="AM94" s="33">
        <f>+AL94*0.12</f>
        <v>0</v>
      </c>
      <c r="AN94" s="33">
        <f>+AM94+AL94+AJ94</f>
        <v>0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70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" thickBot="1">
      <c r="A95" s="42"/>
      <c r="B95" s="43"/>
      <c r="C95" s="44">
        <f>SUBTOTAL(9,C93:C94)</f>
        <v>0</v>
      </c>
      <c r="D95" s="162">
        <f>SUBTOTAL(9,D93:D94)</f>
        <v>0</v>
      </c>
      <c r="E95" s="45">
        <f>SUBTOTAL(9,E93:E94)</f>
        <v>0</v>
      </c>
      <c r="F95" s="172"/>
      <c r="G95" s="45">
        <f t="shared" ref="G95:P95" si="151">SUBTOTAL(9,G93:G94)</f>
        <v>0</v>
      </c>
      <c r="H95" s="45">
        <f t="shared" si="151"/>
        <v>0</v>
      </c>
      <c r="I95" s="45">
        <f t="shared" si="151"/>
        <v>0</v>
      </c>
      <c r="J95" s="45">
        <f t="shared" si="151"/>
        <v>0</v>
      </c>
      <c r="K95" s="45"/>
      <c r="L95" s="45">
        <f t="shared" si="151"/>
        <v>0</v>
      </c>
      <c r="M95" s="46">
        <f t="shared" si="151"/>
        <v>0</v>
      </c>
      <c r="N95" s="46">
        <f t="shared" si="151"/>
        <v>0</v>
      </c>
      <c r="O95" s="46">
        <f t="shared" si="151"/>
        <v>0</v>
      </c>
      <c r="P95" s="46">
        <f t="shared" si="151"/>
        <v>0</v>
      </c>
      <c r="Q95" s="47"/>
      <c r="R95" s="45">
        <f t="shared" ref="R95:BQ95" si="152">SUBTOTAL(9,R93:R94)</f>
        <v>0</v>
      </c>
      <c r="S95" s="45">
        <f t="shared" si="152"/>
        <v>0</v>
      </c>
      <c r="T95" s="46">
        <f t="shared" si="152"/>
        <v>0</v>
      </c>
      <c r="U95" s="46">
        <f t="shared" si="152"/>
        <v>0</v>
      </c>
      <c r="V95" s="46">
        <f t="shared" si="152"/>
        <v>0</v>
      </c>
      <c r="W95" s="46">
        <f t="shared" si="152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52"/>
        <v>0</v>
      </c>
      <c r="AH95" s="44">
        <f t="shared" si="152"/>
        <v>0</v>
      </c>
      <c r="AI95" s="44">
        <f t="shared" si="152"/>
        <v>0</v>
      </c>
      <c r="AJ95" s="45">
        <f t="shared" si="152"/>
        <v>0</v>
      </c>
      <c r="AK95" s="44">
        <f t="shared" si="152"/>
        <v>0</v>
      </c>
      <c r="AL95" s="44">
        <f t="shared" si="152"/>
        <v>0</v>
      </c>
      <c r="AM95" s="44">
        <f t="shared" si="152"/>
        <v>0</v>
      </c>
      <c r="AN95" s="44">
        <f t="shared" si="123"/>
        <v>0</v>
      </c>
      <c r="AO95" s="49">
        <f t="shared" si="152"/>
        <v>0</v>
      </c>
      <c r="AP95" s="49">
        <f t="shared" si="152"/>
        <v>0</v>
      </c>
      <c r="AQ95" s="49">
        <f t="shared" si="152"/>
        <v>0</v>
      </c>
      <c r="AR95" s="49">
        <f t="shared" si="152"/>
        <v>0</v>
      </c>
      <c r="AS95" s="49">
        <f t="shared" si="152"/>
        <v>0</v>
      </c>
      <c r="AT95" s="49">
        <f t="shared" si="152"/>
        <v>0</v>
      </c>
      <c r="AU95" s="49">
        <f>SUBTOTAL(9,AU93:AU94)</f>
        <v>0</v>
      </c>
      <c r="AV95" s="49">
        <f t="shared" si="152"/>
        <v>0</v>
      </c>
      <c r="AW95" s="49">
        <f t="shared" si="152"/>
        <v>0</v>
      </c>
      <c r="AX95" s="49">
        <f t="shared" si="152"/>
        <v>0</v>
      </c>
      <c r="AY95" s="49">
        <f t="shared" si="152"/>
        <v>0</v>
      </c>
      <c r="AZ95" s="44">
        <f t="shared" si="152"/>
        <v>0</v>
      </c>
      <c r="BA95" s="48">
        <f t="shared" si="152"/>
        <v>0</v>
      </c>
      <c r="BB95" s="48">
        <f t="shared" si="152"/>
        <v>0</v>
      </c>
      <c r="BC95" s="44">
        <f t="shared" si="152"/>
        <v>0</v>
      </c>
      <c r="BD95" s="44">
        <f t="shared" si="152"/>
        <v>0</v>
      </c>
      <c r="BE95" s="49">
        <f t="shared" si="152"/>
        <v>0</v>
      </c>
      <c r="BF95" s="49">
        <f>SUBTOTAL(9,BF93:BF94)</f>
        <v>0</v>
      </c>
      <c r="BG95" s="49">
        <f t="shared" si="152"/>
        <v>0</v>
      </c>
      <c r="BH95" s="49">
        <f t="shared" si="152"/>
        <v>0</v>
      </c>
      <c r="BI95" s="49">
        <f t="shared" si="152"/>
        <v>0</v>
      </c>
      <c r="BJ95" s="49">
        <f t="shared" si="152"/>
        <v>0</v>
      </c>
      <c r="BK95" s="49">
        <f t="shared" si="152"/>
        <v>0</v>
      </c>
      <c r="BL95" s="49">
        <f t="shared" si="152"/>
        <v>0</v>
      </c>
      <c r="BM95" s="49">
        <f t="shared" si="152"/>
        <v>0</v>
      </c>
      <c r="BN95" s="49">
        <f t="shared" si="152"/>
        <v>0</v>
      </c>
      <c r="BO95" s="49">
        <f t="shared" si="152"/>
        <v>0</v>
      </c>
      <c r="BP95" s="49">
        <f t="shared" si="152"/>
        <v>0</v>
      </c>
      <c r="BQ95" s="49">
        <f t="shared" si="152"/>
        <v>0</v>
      </c>
      <c r="BR95" s="44">
        <f>SUBTOTAL(9,BR93:BR94)</f>
        <v>0</v>
      </c>
    </row>
    <row r="96" spans="1:97">
      <c r="A96" s="195">
        <f>+A93+1</f>
        <v>43311</v>
      </c>
      <c r="B96" s="16" t="s">
        <v>43</v>
      </c>
      <c r="C96" s="33">
        <v>12791.92</v>
      </c>
      <c r="D96" s="34">
        <v>8633.1299999999992</v>
      </c>
      <c r="E96" s="34">
        <v>8634</v>
      </c>
      <c r="F96" s="171">
        <v>43311</v>
      </c>
      <c r="G96" s="33">
        <f>IF(E96-D96&lt;0,E96-D96,0)*-1</f>
        <v>0</v>
      </c>
      <c r="H96" s="33">
        <f>IF(E96-D96&gt;0,E96-D96,0)</f>
        <v>0.87000000000080036</v>
      </c>
      <c r="I96" s="34"/>
      <c r="J96" s="34"/>
      <c r="K96" s="34">
        <v>4079.38</v>
      </c>
      <c r="L96" s="34"/>
      <c r="M96" s="36">
        <f>(+K96)*M$5</f>
        <v>87.706669999999988</v>
      </c>
      <c r="N96" s="36">
        <f>(+K96)*N$5</f>
        <v>20.396900000000002</v>
      </c>
      <c r="O96" s="36">
        <f>+K96-M96-N96+P96</f>
        <v>3971.2764299999999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>
        <v>11.5</v>
      </c>
      <c r="AA96" s="34"/>
      <c r="AB96" s="34"/>
      <c r="AC96" s="34">
        <v>67.86</v>
      </c>
      <c r="AD96" s="38"/>
      <c r="AE96" s="38"/>
      <c r="AF96" s="34">
        <v>867.63</v>
      </c>
      <c r="AG96" s="33">
        <f>(AF96*0.8)*0.85</f>
        <v>589.98840000000007</v>
      </c>
      <c r="AH96" s="33">
        <f>(AF96*0.8)*0.15</f>
        <v>104.1156</v>
      </c>
      <c r="AI96" s="33">
        <f>AF96*0.2</f>
        <v>173.52600000000001</v>
      </c>
      <c r="AJ96" s="34"/>
      <c r="AK96" s="33">
        <f t="shared" ref="AK96" si="153">(C96-AF96-AJ96)/1.12</f>
        <v>10646.6875</v>
      </c>
      <c r="AL96" s="33">
        <f t="shared" ref="AL96" si="154">AK96-SUM(Y96:AC96)</f>
        <v>10567.327499999999</v>
      </c>
      <c r="AM96" s="33">
        <f t="shared" ref="AM96" si="155">+AL96*0.12</f>
        <v>1268.0792999999999</v>
      </c>
      <c r="AN96" s="33">
        <f t="shared" ref="AN96" si="156">+AM96+AL96+AJ96</f>
        <v>11835.406799999999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" thickBot="1">
      <c r="A97" s="192"/>
      <c r="B97" s="16" t="s">
        <v>44</v>
      </c>
      <c r="C97" s="33">
        <v>7686.13</v>
      </c>
      <c r="D97" s="34">
        <v>4812.43</v>
      </c>
      <c r="E97" s="34">
        <v>4812</v>
      </c>
      <c r="F97" s="171">
        <v>43312</v>
      </c>
      <c r="G97" s="33">
        <f>IF(E97-D97&lt;0,E97-D97,0)*-1</f>
        <v>0.43000000000029104</v>
      </c>
      <c r="H97" s="33">
        <f>IF(E97-D97&gt;0,E97-D97,0)</f>
        <v>0</v>
      </c>
      <c r="I97" s="34"/>
      <c r="J97" s="34"/>
      <c r="K97" s="34">
        <v>2862.95</v>
      </c>
      <c r="L97" s="34"/>
      <c r="M97" s="36">
        <f>(+K97)*M$5</f>
        <v>61.55342499999999</v>
      </c>
      <c r="N97" s="36">
        <f>(+K97)*N$5</f>
        <v>14.31475</v>
      </c>
      <c r="O97" s="36">
        <f>+K97-M97-N97+P97</f>
        <v>2787.0818249999998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10.75</v>
      </c>
      <c r="AA97" s="34"/>
      <c r="AB97" s="34"/>
      <c r="AC97" s="34"/>
      <c r="AD97" s="170"/>
      <c r="AE97" s="170"/>
      <c r="AF97" s="34">
        <v>520.13</v>
      </c>
      <c r="AG97" s="33">
        <f>(AF97*0.8)*0.85</f>
        <v>353.6884</v>
      </c>
      <c r="AH97" s="33">
        <f>(AF97*0.8)*0.15</f>
        <v>62.415600000000005</v>
      </c>
      <c r="AI97" s="33">
        <f>AF97*0.2</f>
        <v>104.02600000000001</v>
      </c>
      <c r="AJ97" s="34"/>
      <c r="AK97" s="33">
        <f>(C97-AF97-AJ97)/1.12</f>
        <v>6398.2142857142853</v>
      </c>
      <c r="AL97" s="33">
        <f>AK97-SUM(Y97:AC97)</f>
        <v>6387.4642857142853</v>
      </c>
      <c r="AM97" s="33">
        <f>+AL97*0.12</f>
        <v>766.49571428571426</v>
      </c>
      <c r="AN97" s="33">
        <f>+AM97+AL97+AJ97</f>
        <v>7153.9599999999991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" thickBot="1">
      <c r="A98" s="160"/>
      <c r="B98" s="43"/>
      <c r="C98" s="44">
        <f>SUBTOTAL(9,C96:C97)</f>
        <v>20478.05</v>
      </c>
      <c r="D98" s="45">
        <f>SUBTOTAL(9,D96:D97)</f>
        <v>13445.56</v>
      </c>
      <c r="E98" s="45">
        <f>SUBTOTAL(9,E96:E97)</f>
        <v>13446</v>
      </c>
      <c r="F98" s="45"/>
      <c r="G98" s="45">
        <f t="shared" ref="G98:P98" si="157">SUBTOTAL(9,G96:G97)</f>
        <v>0.43000000000029104</v>
      </c>
      <c r="H98" s="45">
        <f t="shared" si="157"/>
        <v>0.87000000000080036</v>
      </c>
      <c r="I98" s="45">
        <f t="shared" si="157"/>
        <v>0</v>
      </c>
      <c r="J98" s="45">
        <f t="shared" si="157"/>
        <v>0</v>
      </c>
      <c r="K98" s="45"/>
      <c r="L98" s="45">
        <f t="shared" si="157"/>
        <v>0</v>
      </c>
      <c r="M98" s="46">
        <f t="shared" si="157"/>
        <v>149.26009499999998</v>
      </c>
      <c r="N98" s="46">
        <f t="shared" si="157"/>
        <v>34.711650000000006</v>
      </c>
      <c r="O98" s="46">
        <f t="shared" si="157"/>
        <v>6758.3582549999992</v>
      </c>
      <c r="P98" s="46">
        <f t="shared" si="157"/>
        <v>0</v>
      </c>
      <c r="Q98" s="47"/>
      <c r="R98" s="45">
        <f t="shared" ref="R98:BQ98" si="158">SUBTOTAL(9,R96:R97)</f>
        <v>0</v>
      </c>
      <c r="S98" s="45">
        <f t="shared" si="158"/>
        <v>0</v>
      </c>
      <c r="T98" s="46">
        <f t="shared" si="158"/>
        <v>0</v>
      </c>
      <c r="U98" s="46">
        <f t="shared" si="158"/>
        <v>0</v>
      </c>
      <c r="V98" s="46">
        <f t="shared" si="158"/>
        <v>0</v>
      </c>
      <c r="W98" s="46">
        <f t="shared" si="158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58"/>
        <v>943.67680000000007</v>
      </c>
      <c r="AH98" s="44">
        <f t="shared" si="158"/>
        <v>166.53120000000001</v>
      </c>
      <c r="AI98" s="44">
        <f t="shared" si="158"/>
        <v>277.55200000000002</v>
      </c>
      <c r="AJ98" s="45">
        <f t="shared" si="158"/>
        <v>0</v>
      </c>
      <c r="AK98" s="44">
        <f t="shared" si="158"/>
        <v>17044.901785714286</v>
      </c>
      <c r="AL98" s="44">
        <f t="shared" si="158"/>
        <v>16954.791785714286</v>
      </c>
      <c r="AM98" s="44">
        <f t="shared" si="158"/>
        <v>2034.5750142857141</v>
      </c>
      <c r="AN98" s="44">
        <f t="shared" si="123"/>
        <v>18989.3668</v>
      </c>
      <c r="AO98" s="49">
        <f t="shared" si="158"/>
        <v>0</v>
      </c>
      <c r="AP98" s="49">
        <f t="shared" si="158"/>
        <v>0</v>
      </c>
      <c r="AQ98" s="49">
        <f t="shared" si="158"/>
        <v>0</v>
      </c>
      <c r="AR98" s="49">
        <f t="shared" si="158"/>
        <v>0</v>
      </c>
      <c r="AS98" s="49">
        <f t="shared" si="158"/>
        <v>0</v>
      </c>
      <c r="AT98" s="49">
        <f t="shared" si="158"/>
        <v>0</v>
      </c>
      <c r="AU98" s="49">
        <f>SUBTOTAL(9,AU96:AU97)</f>
        <v>0</v>
      </c>
      <c r="AV98" s="49">
        <f t="shared" si="158"/>
        <v>0</v>
      </c>
      <c r="AW98" s="49">
        <f t="shared" si="158"/>
        <v>0</v>
      </c>
      <c r="AX98" s="49">
        <f t="shared" si="158"/>
        <v>0</v>
      </c>
      <c r="AY98" s="49">
        <f t="shared" si="158"/>
        <v>0</v>
      </c>
      <c r="AZ98" s="44">
        <f t="shared" si="158"/>
        <v>0</v>
      </c>
      <c r="BA98" s="48">
        <f t="shared" si="158"/>
        <v>0</v>
      </c>
      <c r="BB98" s="48">
        <f t="shared" si="158"/>
        <v>0</v>
      </c>
      <c r="BC98" s="44">
        <f t="shared" si="158"/>
        <v>0</v>
      </c>
      <c r="BD98" s="44">
        <f t="shared" si="158"/>
        <v>0</v>
      </c>
      <c r="BE98" s="49">
        <f t="shared" si="158"/>
        <v>0</v>
      </c>
      <c r="BF98" s="49">
        <f>SUBTOTAL(9,BF96:BF97)</f>
        <v>0</v>
      </c>
      <c r="BG98" s="49">
        <f t="shared" si="158"/>
        <v>0</v>
      </c>
      <c r="BH98" s="49">
        <f t="shared" si="158"/>
        <v>0</v>
      </c>
      <c r="BI98" s="49">
        <f t="shared" si="158"/>
        <v>0</v>
      </c>
      <c r="BJ98" s="49">
        <f t="shared" si="158"/>
        <v>0</v>
      </c>
      <c r="BK98" s="49">
        <f t="shared" si="158"/>
        <v>0</v>
      </c>
      <c r="BL98" s="49">
        <f t="shared" si="158"/>
        <v>0</v>
      </c>
      <c r="BM98" s="49">
        <f t="shared" si="158"/>
        <v>0</v>
      </c>
      <c r="BN98" s="49">
        <f t="shared" si="158"/>
        <v>0</v>
      </c>
      <c r="BO98" s="49">
        <f t="shared" si="158"/>
        <v>0</v>
      </c>
      <c r="BP98" s="49">
        <f t="shared" si="158"/>
        <v>0</v>
      </c>
      <c r="BQ98" s="49">
        <f t="shared" si="158"/>
        <v>0</v>
      </c>
      <c r="BR98" s="161">
        <f>SUBTOTAL(9,BR96:BR97)</f>
        <v>0</v>
      </c>
    </row>
    <row r="99" spans="1:97" ht="15" customHeight="1">
      <c r="A99" s="196">
        <v>43312</v>
      </c>
      <c r="B99" s="16" t="s">
        <v>43</v>
      </c>
      <c r="C99" s="33">
        <v>25175.73</v>
      </c>
      <c r="D99" s="34">
        <v>19715</v>
      </c>
      <c r="E99" s="34">
        <v>19715</v>
      </c>
      <c r="F99" s="35">
        <v>43312</v>
      </c>
      <c r="G99" s="33">
        <f>IF(E99-D99&lt;0,E99-D99,0)*-1</f>
        <v>0</v>
      </c>
      <c r="H99" s="33">
        <f>IF(E99-D99&gt;0,E99-D99,0)</f>
        <v>0</v>
      </c>
      <c r="I99" s="34"/>
      <c r="J99" s="34"/>
      <c r="K99" s="34">
        <v>5229.63</v>
      </c>
      <c r="L99" s="34"/>
      <c r="M99" s="36">
        <f>(+K99)*M$5</f>
        <v>112.437045</v>
      </c>
      <c r="N99" s="36">
        <f>(+K99)*N$5</f>
        <v>26.148150000000001</v>
      </c>
      <c r="O99" s="36">
        <f>+K99-M99-N99+P99</f>
        <v>5091.0448050000005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>
        <f>24+81.5</f>
        <v>105.5</v>
      </c>
      <c r="AA99" s="34"/>
      <c r="AB99" s="34"/>
      <c r="AC99" s="34">
        <v>125.6</v>
      </c>
      <c r="AD99" s="38"/>
      <c r="AE99" s="38"/>
      <c r="AF99" s="34">
        <v>2011.09</v>
      </c>
      <c r="AG99" s="33">
        <f>(AF99*0.8)*0.85</f>
        <v>1367.5412000000001</v>
      </c>
      <c r="AH99" s="33">
        <f>(AF99*0.8)*0.15</f>
        <v>241.33080000000001</v>
      </c>
      <c r="AI99" s="33">
        <f>AF99*0.2</f>
        <v>402.21800000000002</v>
      </c>
      <c r="AJ99" s="34"/>
      <c r="AK99" s="33">
        <f>(C99-AF99-AJ99)/1.12</f>
        <v>20682.714285714283</v>
      </c>
      <c r="AL99" s="33">
        <f>AK99-SUM(Y99:AC99)</f>
        <v>20451.614285714284</v>
      </c>
      <c r="AM99" s="33">
        <f>+AL99*0.12</f>
        <v>2454.1937142857141</v>
      </c>
      <c r="AN99" s="33">
        <f t="shared" si="123"/>
        <v>22905.807999999997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9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196"/>
      <c r="B100" s="16" t="s">
        <v>44</v>
      </c>
      <c r="C100" s="33">
        <v>19347.330000000002</v>
      </c>
      <c r="D100" s="34">
        <v>13733.93</v>
      </c>
      <c r="E100" s="34">
        <v>13735</v>
      </c>
      <c r="F100" s="35">
        <v>43313</v>
      </c>
      <c r="G100" s="33">
        <f>IF(E100-D100&lt;0,E100-D100,0)*-1</f>
        <v>0</v>
      </c>
      <c r="H100" s="33">
        <f>IF(E100-D100&gt;0,E100-D100,0)</f>
        <v>1.069999999999709</v>
      </c>
      <c r="I100" s="34"/>
      <c r="J100" s="34"/>
      <c r="K100" s="34">
        <v>5580.4</v>
      </c>
      <c r="L100" s="34"/>
      <c r="M100" s="36">
        <f>(+K100)*M$5</f>
        <v>119.97859999999999</v>
      </c>
      <c r="N100" s="36">
        <f>(+K100)*N$5</f>
        <v>27.901999999999997</v>
      </c>
      <c r="O100" s="36">
        <f>+K100-M100-N100+P100</f>
        <v>5432.5193999999992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>
        <v>33</v>
      </c>
      <c r="AA100" s="34"/>
      <c r="AB100" s="34"/>
      <c r="AC100" s="34"/>
      <c r="AD100" s="38"/>
      <c r="AE100" s="38"/>
      <c r="AF100" s="34">
        <v>1429.33</v>
      </c>
      <c r="AG100" s="33">
        <f>(AF100*0.8)*0.85</f>
        <v>971.94439999999997</v>
      </c>
      <c r="AH100" s="33">
        <f>(AF100*0.8)*0.15</f>
        <v>171.5196</v>
      </c>
      <c r="AI100" s="33">
        <f>AF100*0.2</f>
        <v>285.86599999999999</v>
      </c>
      <c r="AJ100" s="34"/>
      <c r="AK100" s="33">
        <f>(C100-AF100-AJ100)/1.12</f>
        <v>15998.214285714284</v>
      </c>
      <c r="AL100" s="33">
        <f>AK100-SUM(Y100:AC100)</f>
        <v>15965.214285714284</v>
      </c>
      <c r="AM100" s="33">
        <f>+AL100*0.12</f>
        <v>1915.825714285714</v>
      </c>
      <c r="AN100" s="33">
        <f t="shared" si="123"/>
        <v>17881.039999999997</v>
      </c>
      <c r="AO100" s="39">
        <v>1215</v>
      </c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1215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9">
        <f>AZ100+BA100+BB100+BD100-BC100</f>
        <v>1215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5" thickBot="1">
      <c r="A101" s="42"/>
      <c r="B101" s="43"/>
      <c r="C101" s="44">
        <f>SUBTOTAL(9,C99:C100)</f>
        <v>44523.06</v>
      </c>
      <c r="D101" s="45">
        <f>SUBTOTAL(9,D99:D100)</f>
        <v>33448.93</v>
      </c>
      <c r="E101" s="45">
        <f>SUBTOTAL(9,E99:E100)</f>
        <v>33450</v>
      </c>
      <c r="F101" s="45"/>
      <c r="G101" s="45">
        <f>SUBTOTAL(9,G99:G100)</f>
        <v>0</v>
      </c>
      <c r="H101" s="45">
        <f>SUBTOTAL(9,H99:H100)</f>
        <v>1.069999999999709</v>
      </c>
      <c r="I101" s="45">
        <f>SUBTOTAL(9,I99:I100)</f>
        <v>0</v>
      </c>
      <c r="J101" s="45">
        <f>SUBTOTAL(9,J99:J100)</f>
        <v>0</v>
      </c>
      <c r="K101" s="45"/>
      <c r="L101" s="45">
        <f>SUBTOTAL(9,L99:L100)</f>
        <v>0</v>
      </c>
      <c r="M101" s="46">
        <f>SUBTOTAL(9,M99:M100)</f>
        <v>232.41564499999998</v>
      </c>
      <c r="N101" s="46">
        <f>SUBTOTAL(9,N99:N100)</f>
        <v>54.050150000000002</v>
      </c>
      <c r="O101" s="46">
        <f>SUBTOTAL(9,O99:O100)</f>
        <v>10523.564204999999</v>
      </c>
      <c r="P101" s="46">
        <f>SUBTOTAL(9,P99:P100)</f>
        <v>0</v>
      </c>
      <c r="Q101" s="47"/>
      <c r="R101" s="45">
        <f t="shared" ref="R101:W101" si="159">SUBTOTAL(9,R99:R100)</f>
        <v>0</v>
      </c>
      <c r="S101" s="45">
        <f t="shared" si="159"/>
        <v>0</v>
      </c>
      <c r="T101" s="46">
        <f t="shared" si="159"/>
        <v>0</v>
      </c>
      <c r="U101" s="46">
        <f t="shared" si="159"/>
        <v>0</v>
      </c>
      <c r="V101" s="46">
        <f t="shared" si="159"/>
        <v>0</v>
      </c>
      <c r="W101" s="46">
        <f t="shared" si="159"/>
        <v>0</v>
      </c>
      <c r="X101" s="47"/>
      <c r="Y101" s="45">
        <f>SUBTOTAL(9,Y99:Y100)</f>
        <v>0</v>
      </c>
      <c r="Z101" s="45">
        <v>0</v>
      </c>
      <c r="AA101" s="45"/>
      <c r="AB101" s="45"/>
      <c r="AC101" s="45"/>
      <c r="AD101" s="48"/>
      <c r="AE101" s="48"/>
      <c r="AF101" s="45"/>
      <c r="AG101" s="44">
        <f t="shared" ref="AG101:AM101" si="160">SUBTOTAL(9,AG99:AG100)</f>
        <v>2339.4856</v>
      </c>
      <c r="AH101" s="44">
        <f t="shared" si="160"/>
        <v>412.85040000000004</v>
      </c>
      <c r="AI101" s="44">
        <f t="shared" si="160"/>
        <v>688.08400000000006</v>
      </c>
      <c r="AJ101" s="45">
        <f t="shared" si="160"/>
        <v>0</v>
      </c>
      <c r="AK101" s="44">
        <f t="shared" si="160"/>
        <v>36680.928571428565</v>
      </c>
      <c r="AL101" s="44">
        <f t="shared" si="160"/>
        <v>36416.828571428567</v>
      </c>
      <c r="AM101" s="44">
        <f t="shared" si="160"/>
        <v>4370.0194285714279</v>
      </c>
      <c r="AN101" s="44">
        <f>+AM101+AL101+AJ101</f>
        <v>40786.847999999998</v>
      </c>
      <c r="AO101" s="49">
        <f t="shared" ref="AO101:AZ101" si="161">SUBTOTAL(9,AO99:AO100)</f>
        <v>1215</v>
      </c>
      <c r="AP101" s="49">
        <f t="shared" si="161"/>
        <v>0</v>
      </c>
      <c r="AQ101" s="49">
        <f t="shared" si="161"/>
        <v>0</v>
      </c>
      <c r="AR101" s="49">
        <f t="shared" si="161"/>
        <v>0</v>
      </c>
      <c r="AS101" s="49">
        <f t="shared" si="161"/>
        <v>0</v>
      </c>
      <c r="AT101" s="49">
        <f t="shared" si="161"/>
        <v>0</v>
      </c>
      <c r="AU101" s="49">
        <f t="shared" si="161"/>
        <v>0</v>
      </c>
      <c r="AV101" s="49">
        <f t="shared" si="161"/>
        <v>0</v>
      </c>
      <c r="AW101" s="49">
        <f t="shared" si="161"/>
        <v>0</v>
      </c>
      <c r="AX101" s="49">
        <f t="shared" si="161"/>
        <v>0</v>
      </c>
      <c r="AY101" s="49">
        <f t="shared" si="161"/>
        <v>0</v>
      </c>
      <c r="AZ101" s="44">
        <f t="shared" si="161"/>
        <v>1215</v>
      </c>
      <c r="BA101" s="48"/>
      <c r="BB101" s="48">
        <f t="shared" ref="BB101:BR101" si="162">SUBTOTAL(9,BB99:BB100)</f>
        <v>0</v>
      </c>
      <c r="BC101" s="44">
        <f t="shared" si="162"/>
        <v>0</v>
      </c>
      <c r="BD101" s="44">
        <f t="shared" si="162"/>
        <v>0</v>
      </c>
      <c r="BE101" s="49">
        <f t="shared" si="162"/>
        <v>0</v>
      </c>
      <c r="BF101" s="49">
        <f t="shared" si="162"/>
        <v>0</v>
      </c>
      <c r="BG101" s="49">
        <f t="shared" si="162"/>
        <v>0</v>
      </c>
      <c r="BH101" s="49">
        <f t="shared" si="162"/>
        <v>0</v>
      </c>
      <c r="BI101" s="49">
        <f t="shared" si="162"/>
        <v>0</v>
      </c>
      <c r="BJ101" s="49">
        <f t="shared" si="162"/>
        <v>0</v>
      </c>
      <c r="BK101" s="49">
        <f t="shared" si="162"/>
        <v>0</v>
      </c>
      <c r="BL101" s="49">
        <f t="shared" si="162"/>
        <v>0</v>
      </c>
      <c r="BM101" s="49">
        <f t="shared" si="162"/>
        <v>0</v>
      </c>
      <c r="BN101" s="49">
        <f t="shared" si="162"/>
        <v>0</v>
      </c>
      <c r="BO101" s="49">
        <f t="shared" si="162"/>
        <v>0</v>
      </c>
      <c r="BP101" s="49">
        <f t="shared" si="162"/>
        <v>0</v>
      </c>
      <c r="BQ101" s="49">
        <f t="shared" si="162"/>
        <v>0</v>
      </c>
      <c r="BR101" s="44">
        <f t="shared" si="162"/>
        <v>1215</v>
      </c>
    </row>
    <row r="102" spans="1:97">
      <c r="A102" s="195">
        <f>A96+1</f>
        <v>43312</v>
      </c>
      <c r="B102" s="16" t="s">
        <v>43</v>
      </c>
      <c r="C102" s="33"/>
      <c r="D102" s="34"/>
      <c r="E102" s="34"/>
      <c r="F102" s="156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v>0</v>
      </c>
      <c r="AL102" s="33">
        <f>AK102-SUM(Y102:AC102)</f>
        <v>0</v>
      </c>
      <c r="AM102" s="33">
        <f>+AL102*0.12</f>
        <v>0</v>
      </c>
      <c r="AN102" s="33">
        <f t="shared" si="123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>
        <f>SUM(BE102:BM102)*0.1+(BN102*0.5)</f>
        <v>0</v>
      </c>
      <c r="BD102" s="33">
        <f>SUM(BE102:BM102)+(BN102*0.5)</f>
        <v>0</v>
      </c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" thickBot="1">
      <c r="A103" s="192"/>
      <c r="B103" s="16" t="s">
        <v>44</v>
      </c>
      <c r="C103" s="33"/>
      <c r="D103" s="34"/>
      <c r="E103" s="34"/>
      <c r="F103" s="35"/>
      <c r="G103" s="33">
        <f>IF(E103-D103&lt;0,E103-D103,0)*-1</f>
        <v>0</v>
      </c>
      <c r="H103" s="33">
        <f>IF(E103-D103&gt;0,E103-D103,0)</f>
        <v>0</v>
      </c>
      <c r="I103" s="34"/>
      <c r="J103" s="34"/>
      <c r="K103" s="34"/>
      <c r="L103" s="34"/>
      <c r="M103" s="36">
        <f>(+K103)*M$5</f>
        <v>0</v>
      </c>
      <c r="N103" s="36">
        <f>(+K103)*N$5</f>
        <v>0</v>
      </c>
      <c r="O103" s="36">
        <f>+K103-M103-N103+P103</f>
        <v>0</v>
      </c>
      <c r="P103" s="36">
        <f>L103-(L103*(M$5+N$5))</f>
        <v>0</v>
      </c>
      <c r="Q103" s="37"/>
      <c r="R103" s="34"/>
      <c r="S103" s="34"/>
      <c r="T103" s="36">
        <f>+R103*T$5</f>
        <v>0</v>
      </c>
      <c r="U103" s="36">
        <f>+R103*U$5</f>
        <v>0</v>
      </c>
      <c r="V103" s="36">
        <f>+R103-T103-U103+W103</f>
        <v>0</v>
      </c>
      <c r="W103" s="36">
        <f>+S103-(S103*(T$5+U$5))</f>
        <v>0</v>
      </c>
      <c r="X103" s="37"/>
      <c r="Y103" s="34"/>
      <c r="Z103" s="34"/>
      <c r="AA103" s="34"/>
      <c r="AB103" s="34"/>
      <c r="AC103" s="34"/>
      <c r="AD103" s="38"/>
      <c r="AE103" s="38"/>
      <c r="AF103" s="34"/>
      <c r="AG103" s="33">
        <f>(AF103*0.8)*0.85</f>
        <v>0</v>
      </c>
      <c r="AH103" s="33">
        <f>(AF103*0.8)*0.15</f>
        <v>0</v>
      </c>
      <c r="AI103" s="33">
        <f>AF103*0.2</f>
        <v>0</v>
      </c>
      <c r="AJ103" s="34"/>
      <c r="AK103" s="33">
        <f>(C103-AF103-AJ103)/1.12</f>
        <v>0</v>
      </c>
      <c r="AL103" s="33">
        <f>AK103-SUM(Y103:AC103)</f>
        <v>0</v>
      </c>
      <c r="AM103" s="33">
        <f>+AL103*0.12</f>
        <v>0</v>
      </c>
      <c r="AN103" s="33">
        <f t="shared" si="123"/>
        <v>0</v>
      </c>
      <c r="AO103" s="39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33">
        <f>SUM(AO103:AY103)</f>
        <v>0</v>
      </c>
      <c r="BA103" s="38"/>
      <c r="BB103" s="38"/>
      <c r="BC103" s="33"/>
      <c r="BD103" s="33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41">
        <f>AZ103+BA103+BB103+BD103-BC103</f>
        <v>0</v>
      </c>
      <c r="BT103" s="146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</row>
    <row r="104" spans="1:97" ht="15" thickBot="1">
      <c r="A104" s="42"/>
      <c r="B104" s="43"/>
      <c r="C104" s="44">
        <f>SUBTOTAL(9,C102:C103)</f>
        <v>0</v>
      </c>
      <c r="D104" s="45">
        <f>SUBTOTAL(9,D102:D103)</f>
        <v>0</v>
      </c>
      <c r="E104" s="45">
        <f>SUBTOTAL(9,E102:E103)</f>
        <v>0</v>
      </c>
      <c r="F104" s="45"/>
      <c r="G104" s="45">
        <f>SUBTOTAL(9,G102:G103)</f>
        <v>0</v>
      </c>
      <c r="H104" s="45">
        <f>SUBTOTAL(9,H102:H103)</f>
        <v>0</v>
      </c>
      <c r="I104" s="45">
        <f>SUBTOTAL(9,I102:I103)</f>
        <v>0</v>
      </c>
      <c r="J104" s="45">
        <f>SUBTOTAL(9,J102:J103)</f>
        <v>0</v>
      </c>
      <c r="K104" s="45"/>
      <c r="L104" s="45">
        <f>SUBTOTAL(9,L102:L103)</f>
        <v>0</v>
      </c>
      <c r="M104" s="46">
        <f>SUBTOTAL(9,M102:M103)</f>
        <v>0</v>
      </c>
      <c r="N104" s="46">
        <f>SUBTOTAL(9,N102:N103)</f>
        <v>0</v>
      </c>
      <c r="O104" s="46">
        <f>SUBTOTAL(9,O102:O103)</f>
        <v>0</v>
      </c>
      <c r="P104" s="46">
        <f>SUBTOTAL(9,P102:P103)</f>
        <v>0</v>
      </c>
      <c r="Q104" s="47"/>
      <c r="R104" s="45">
        <f t="shared" ref="R104:W104" si="163">SUBTOTAL(9,R102:R103)</f>
        <v>0</v>
      </c>
      <c r="S104" s="45">
        <f t="shared" si="163"/>
        <v>0</v>
      </c>
      <c r="T104" s="46">
        <f t="shared" si="163"/>
        <v>0</v>
      </c>
      <c r="U104" s="46">
        <f t="shared" si="163"/>
        <v>0</v>
      </c>
      <c r="V104" s="46">
        <f t="shared" si="163"/>
        <v>0</v>
      </c>
      <c r="W104" s="46">
        <f t="shared" si="163"/>
        <v>0</v>
      </c>
      <c r="X104" s="47"/>
      <c r="Y104" s="45">
        <f>SUBTOTAL(9,Y102:Y103)</f>
        <v>0</v>
      </c>
      <c r="Z104" s="45">
        <v>0</v>
      </c>
      <c r="AA104" s="45"/>
      <c r="AB104" s="45"/>
      <c r="AC104" s="45"/>
      <c r="AD104" s="48"/>
      <c r="AE104" s="48"/>
      <c r="AF104" s="45"/>
      <c r="AG104" s="44">
        <f t="shared" ref="AG104:AM104" si="164">SUBTOTAL(9,AG102:AG103)</f>
        <v>0</v>
      </c>
      <c r="AH104" s="44">
        <f t="shared" si="164"/>
        <v>0</v>
      </c>
      <c r="AI104" s="44">
        <f t="shared" si="164"/>
        <v>0</v>
      </c>
      <c r="AJ104" s="45">
        <f t="shared" si="164"/>
        <v>0</v>
      </c>
      <c r="AK104" s="44">
        <f t="shared" si="164"/>
        <v>0</v>
      </c>
      <c r="AL104" s="44">
        <f t="shared" si="164"/>
        <v>0</v>
      </c>
      <c r="AM104" s="44">
        <f t="shared" si="164"/>
        <v>0</v>
      </c>
      <c r="AN104" s="44">
        <f>+AM104+AL104+AJ104</f>
        <v>0</v>
      </c>
      <c r="AO104" s="49">
        <f t="shared" ref="AO104:AZ104" si="165">SUBTOTAL(9,AO102:AO103)</f>
        <v>0</v>
      </c>
      <c r="AP104" s="49">
        <f t="shared" si="165"/>
        <v>0</v>
      </c>
      <c r="AQ104" s="49">
        <f t="shared" si="165"/>
        <v>0</v>
      </c>
      <c r="AR104" s="49">
        <f t="shared" si="165"/>
        <v>0</v>
      </c>
      <c r="AS104" s="49">
        <f t="shared" si="165"/>
        <v>0</v>
      </c>
      <c r="AT104" s="49">
        <f t="shared" si="165"/>
        <v>0</v>
      </c>
      <c r="AU104" s="49">
        <f t="shared" si="165"/>
        <v>0</v>
      </c>
      <c r="AV104" s="49">
        <f t="shared" si="165"/>
        <v>0</v>
      </c>
      <c r="AW104" s="49">
        <f t="shared" si="165"/>
        <v>0</v>
      </c>
      <c r="AX104" s="49">
        <f t="shared" si="165"/>
        <v>0</v>
      </c>
      <c r="AY104" s="49">
        <f t="shared" si="165"/>
        <v>0</v>
      </c>
      <c r="AZ104" s="44">
        <f t="shared" si="165"/>
        <v>0</v>
      </c>
      <c r="BA104" s="48"/>
      <c r="BB104" s="48">
        <f t="shared" ref="BB104:BR104" si="166">SUBTOTAL(9,BB102:BB103)</f>
        <v>0</v>
      </c>
      <c r="BC104" s="44">
        <f t="shared" si="166"/>
        <v>0</v>
      </c>
      <c r="BD104" s="44">
        <f t="shared" si="166"/>
        <v>0</v>
      </c>
      <c r="BE104" s="49">
        <f t="shared" si="166"/>
        <v>0</v>
      </c>
      <c r="BF104" s="49">
        <f t="shared" si="166"/>
        <v>0</v>
      </c>
      <c r="BG104" s="49">
        <f t="shared" si="166"/>
        <v>0</v>
      </c>
      <c r="BH104" s="49">
        <f t="shared" si="166"/>
        <v>0</v>
      </c>
      <c r="BI104" s="49">
        <f t="shared" si="166"/>
        <v>0</v>
      </c>
      <c r="BJ104" s="49">
        <f t="shared" si="166"/>
        <v>0</v>
      </c>
      <c r="BK104" s="49">
        <f t="shared" si="166"/>
        <v>0</v>
      </c>
      <c r="BL104" s="49">
        <f t="shared" si="166"/>
        <v>0</v>
      </c>
      <c r="BM104" s="49">
        <f t="shared" si="166"/>
        <v>0</v>
      </c>
      <c r="BN104" s="49">
        <f t="shared" si="166"/>
        <v>0</v>
      </c>
      <c r="BO104" s="49">
        <f t="shared" si="166"/>
        <v>0</v>
      </c>
      <c r="BP104" s="49">
        <f t="shared" si="166"/>
        <v>0</v>
      </c>
      <c r="BQ104" s="49">
        <f t="shared" si="166"/>
        <v>0</v>
      </c>
      <c r="BR104" s="44">
        <f t="shared" si="166"/>
        <v>0</v>
      </c>
    </row>
    <row r="105" spans="1:97" ht="15" thickBot="1">
      <c r="A105" s="157"/>
      <c r="B105" s="4"/>
      <c r="C105" s="50"/>
      <c r="D105" s="51"/>
      <c r="E105" s="51"/>
      <c r="F105" s="52"/>
      <c r="G105" s="50"/>
      <c r="H105" s="50"/>
      <c r="I105" s="51"/>
      <c r="J105" s="51"/>
      <c r="K105" s="51"/>
      <c r="L105" s="51"/>
      <c r="M105" s="53"/>
      <c r="N105" s="53"/>
      <c r="O105" s="53"/>
      <c r="P105" s="53"/>
      <c r="Q105" s="52"/>
      <c r="R105" s="51"/>
      <c r="S105" s="51"/>
      <c r="T105" s="53"/>
      <c r="U105" s="53"/>
      <c r="V105" s="53"/>
      <c r="W105" s="53"/>
      <c r="X105" s="52"/>
      <c r="Y105" s="51"/>
      <c r="Z105" s="51"/>
      <c r="AA105" s="51"/>
      <c r="AB105" s="51"/>
      <c r="AC105" s="51"/>
      <c r="AD105" s="54"/>
      <c r="AE105" s="54"/>
      <c r="AF105" s="51"/>
      <c r="AG105" s="50"/>
      <c r="AH105" s="50"/>
      <c r="AI105" s="50"/>
      <c r="AJ105" s="51"/>
      <c r="AK105" s="50"/>
      <c r="AL105" s="50"/>
      <c r="AM105" s="50"/>
      <c r="AN105" s="50"/>
      <c r="AO105" s="158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0"/>
      <c r="BA105" s="54"/>
      <c r="BB105" s="54"/>
      <c r="BC105" s="50"/>
      <c r="BD105" s="50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0"/>
    </row>
    <row r="106" spans="1:97" ht="15.6" thickTop="1" thickBot="1">
      <c r="A106" s="56" t="s">
        <v>45</v>
      </c>
      <c r="B106" s="56"/>
      <c r="C106" s="57">
        <f>SUBTOTAL(9,C8:C105)</f>
        <v>858224.21000000008</v>
      </c>
      <c r="D106" s="57">
        <f>SUBTOTAL(9,D8:D105)</f>
        <v>598129.68000000005</v>
      </c>
      <c r="E106" s="57">
        <f>SUBTOTAL(9,E8:E105)</f>
        <v>598200.25</v>
      </c>
      <c r="F106" s="57"/>
      <c r="G106" s="57">
        <f t="shared" ref="G106:O106" si="167">SUBTOTAL(9,G8:G105)</f>
        <v>3.6899999999986903</v>
      </c>
      <c r="H106" s="57">
        <f t="shared" si="167"/>
        <v>74.729999999999109</v>
      </c>
      <c r="I106" s="57">
        <f t="shared" si="167"/>
        <v>400</v>
      </c>
      <c r="J106" s="57">
        <f t="shared" si="167"/>
        <v>0</v>
      </c>
      <c r="K106" s="57">
        <f t="shared" si="167"/>
        <v>214590.38999999998</v>
      </c>
      <c r="L106" s="57">
        <f t="shared" si="167"/>
        <v>0</v>
      </c>
      <c r="M106" s="57">
        <f t="shared" si="167"/>
        <v>4918.5549999999994</v>
      </c>
      <c r="N106" s="57">
        <f t="shared" si="167"/>
        <v>1143.8500000000001</v>
      </c>
      <c r="O106" s="57">
        <f t="shared" si="167"/>
        <v>222707.595</v>
      </c>
      <c r="P106" s="57"/>
      <c r="Q106" s="57"/>
      <c r="R106" s="57">
        <f t="shared" ref="R106:W106" si="168">SUBTOTAL(9,R8:R105)</f>
        <v>0</v>
      </c>
      <c r="S106" s="57">
        <f t="shared" si="168"/>
        <v>0</v>
      </c>
      <c r="T106" s="57">
        <f t="shared" si="168"/>
        <v>0</v>
      </c>
      <c r="U106" s="57">
        <f t="shared" si="168"/>
        <v>0</v>
      </c>
      <c r="V106" s="57">
        <f t="shared" si="168"/>
        <v>0</v>
      </c>
      <c r="W106" s="57">
        <f t="shared" si="168"/>
        <v>0</v>
      </c>
      <c r="X106" s="57"/>
      <c r="Y106" s="57">
        <f>SUBTOTAL(9,Y8:Y105)</f>
        <v>0</v>
      </c>
      <c r="Z106" s="57">
        <f>SUBTOTAL(9,Z8:Z105)</f>
        <v>2642.1</v>
      </c>
      <c r="AA106" s="57">
        <f>SUBTOTAL(9,AA8:AA105)</f>
        <v>30.5</v>
      </c>
      <c r="AB106" s="57">
        <f>SUBTOTAL(9,AB8:AB105)</f>
        <v>34</v>
      </c>
      <c r="AC106" s="57">
        <f>SUBTOTAL(9,AC8:AC105)</f>
        <v>4446.93</v>
      </c>
      <c r="AD106" s="57"/>
      <c r="AE106" s="57">
        <f t="shared" ref="AE106:AM106" si="169">SUBTOTAL(9,AE8:AE105)</f>
        <v>28800</v>
      </c>
      <c r="AF106" s="57">
        <f t="shared" si="169"/>
        <v>64697.479999999996</v>
      </c>
      <c r="AG106" s="57">
        <f t="shared" si="169"/>
        <v>43994.286399999997</v>
      </c>
      <c r="AH106" s="57">
        <f t="shared" si="169"/>
        <v>7763.6976000000004</v>
      </c>
      <c r="AI106" s="57">
        <f t="shared" si="169"/>
        <v>12939.495999999997</v>
      </c>
      <c r="AJ106" s="57">
        <f t="shared" si="169"/>
        <v>0</v>
      </c>
      <c r="AK106" s="57">
        <f t="shared" si="169"/>
        <v>690443.82784285722</v>
      </c>
      <c r="AL106" s="57">
        <f t="shared" si="169"/>
        <v>683290.29784285696</v>
      </c>
      <c r="AM106" s="57">
        <f t="shared" si="169"/>
        <v>81994.835741142859</v>
      </c>
      <c r="AN106" s="57">
        <f>+AN11+AN14+AN17+AN20+AN23+AN26+AN29+AN32+AN35+AN38+AN41+AN44+AN47+AN50+AN53+AN56+AN59+AN62+AN65+AN68+AN71+AN74+AN77+AN80+AN83+AN86+AN89+AN92+AN95+AN98+AN103</f>
        <v>724498.28558399982</v>
      </c>
      <c r="AO106" s="120">
        <f t="shared" ref="AO106:BR106" si="170">SUBTOTAL(9,AO8:AO105)</f>
        <v>3488</v>
      </c>
      <c r="AP106" s="120">
        <f t="shared" si="170"/>
        <v>1796</v>
      </c>
      <c r="AQ106" s="120">
        <f t="shared" si="170"/>
        <v>1790</v>
      </c>
      <c r="AR106" s="120">
        <f t="shared" si="170"/>
        <v>1805</v>
      </c>
      <c r="AS106" s="120">
        <f t="shared" si="170"/>
        <v>0</v>
      </c>
      <c r="AT106" s="120">
        <f t="shared" si="170"/>
        <v>0</v>
      </c>
      <c r="AU106" s="135">
        <f t="shared" si="170"/>
        <v>0</v>
      </c>
      <c r="AV106" s="135">
        <f t="shared" si="170"/>
        <v>0</v>
      </c>
      <c r="AW106" s="135">
        <f t="shared" si="170"/>
        <v>0</v>
      </c>
      <c r="AX106" s="135">
        <f t="shared" si="170"/>
        <v>0</v>
      </c>
      <c r="AY106" s="57">
        <f t="shared" si="170"/>
        <v>0</v>
      </c>
      <c r="AZ106" s="57">
        <f t="shared" si="170"/>
        <v>8384</v>
      </c>
      <c r="BA106" s="135">
        <f t="shared" si="170"/>
        <v>2625</v>
      </c>
      <c r="BB106" s="57">
        <f t="shared" si="170"/>
        <v>0</v>
      </c>
      <c r="BC106" s="57">
        <f t="shared" si="170"/>
        <v>0</v>
      </c>
      <c r="BD106" s="57">
        <f t="shared" si="170"/>
        <v>0</v>
      </c>
      <c r="BE106" s="134">
        <f t="shared" si="170"/>
        <v>0</v>
      </c>
      <c r="BF106" s="134">
        <f t="shared" si="170"/>
        <v>0</v>
      </c>
      <c r="BG106" s="57">
        <f t="shared" si="170"/>
        <v>650</v>
      </c>
      <c r="BH106" s="57">
        <f t="shared" si="170"/>
        <v>0</v>
      </c>
      <c r="BI106" s="57">
        <f t="shared" si="170"/>
        <v>0</v>
      </c>
      <c r="BJ106" s="57">
        <f t="shared" si="170"/>
        <v>0</v>
      </c>
      <c r="BK106" s="57">
        <f t="shared" si="170"/>
        <v>0</v>
      </c>
      <c r="BL106" s="57">
        <f t="shared" si="170"/>
        <v>0</v>
      </c>
      <c r="BM106" s="57">
        <f t="shared" si="170"/>
        <v>0</v>
      </c>
      <c r="BN106" s="57">
        <f t="shared" si="170"/>
        <v>0</v>
      </c>
      <c r="BO106" s="57">
        <f t="shared" si="170"/>
        <v>0</v>
      </c>
      <c r="BP106" s="57">
        <f t="shared" si="170"/>
        <v>0</v>
      </c>
      <c r="BQ106" s="57">
        <f t="shared" si="170"/>
        <v>0</v>
      </c>
      <c r="BR106" s="57">
        <f t="shared" si="170"/>
        <v>11009</v>
      </c>
    </row>
    <row r="107" spans="1:97" ht="15" thickTop="1">
      <c r="A107" s="4" t="s">
        <v>100</v>
      </c>
      <c r="B107" s="4"/>
      <c r="C107" s="13">
        <f>+AZ106</f>
        <v>8384</v>
      </c>
      <c r="D107" s="147"/>
      <c r="G107" s="147"/>
      <c r="AK107" s="154" t="s">
        <v>138</v>
      </c>
      <c r="AL107" s="154"/>
      <c r="AM107" s="148"/>
      <c r="AN107" s="149"/>
      <c r="AO107" s="150">
        <v>3500</v>
      </c>
      <c r="AP107" s="150">
        <v>1800</v>
      </c>
      <c r="AQ107" s="150">
        <v>1800</v>
      </c>
      <c r="AR107" s="150">
        <v>1800</v>
      </c>
      <c r="AS107" s="150">
        <v>1000</v>
      </c>
      <c r="AT107" s="150">
        <v>1500</v>
      </c>
      <c r="AW107" s="150">
        <v>1500</v>
      </c>
      <c r="AX107" s="150">
        <v>1500</v>
      </c>
      <c r="BD107" s="137" t="s">
        <v>68</v>
      </c>
      <c r="BE107" s="151">
        <f t="shared" ref="BE107:BK107" si="171">+BE11+BE14+BE17+BE20+BE23+BE26+BE29+BE32+BE35+BE38+BE41+BE44+BE47+BE50+BE53</f>
        <v>0</v>
      </c>
      <c r="BF107" s="151">
        <f t="shared" si="171"/>
        <v>0</v>
      </c>
      <c r="BG107" s="151">
        <f t="shared" si="171"/>
        <v>155</v>
      </c>
      <c r="BH107" s="151">
        <f t="shared" si="171"/>
        <v>0</v>
      </c>
      <c r="BI107" s="151">
        <f t="shared" si="171"/>
        <v>0</v>
      </c>
      <c r="BJ107" s="151">
        <f t="shared" si="171"/>
        <v>0</v>
      </c>
      <c r="BK107" s="151">
        <f t="shared" si="171"/>
        <v>0</v>
      </c>
      <c r="BL107" s="138"/>
      <c r="BM107" s="138"/>
      <c r="BN107" s="138"/>
      <c r="BO107" s="138"/>
      <c r="BP107" s="138"/>
      <c r="BQ107" s="138"/>
      <c r="BR107" s="147">
        <f>SUM(BE107:BQ107)</f>
        <v>155</v>
      </c>
    </row>
    <row r="108" spans="1:97">
      <c r="A108" s="4" t="s">
        <v>101</v>
      </c>
      <c r="B108" s="4"/>
      <c r="C108" s="13">
        <f>+BD106</f>
        <v>0</v>
      </c>
      <c r="D108" s="147"/>
      <c r="E108" s="147"/>
      <c r="AK108" s="154" t="s">
        <v>139</v>
      </c>
      <c r="AL108" s="154">
        <f>+AL106</f>
        <v>683290.29784285696</v>
      </c>
      <c r="AM108" s="147"/>
      <c r="AN108" s="149"/>
      <c r="AO108" s="150">
        <f t="shared" ref="AO108:AX108" si="172">+AO107-AO106</f>
        <v>12</v>
      </c>
      <c r="AP108" s="150">
        <f t="shared" si="172"/>
        <v>4</v>
      </c>
      <c r="AQ108" s="150">
        <f t="shared" si="172"/>
        <v>10</v>
      </c>
      <c r="AR108" s="150">
        <f t="shared" si="172"/>
        <v>-5</v>
      </c>
      <c r="AS108" s="150">
        <f t="shared" si="172"/>
        <v>1000</v>
      </c>
      <c r="AT108" s="150">
        <f t="shared" si="172"/>
        <v>1500</v>
      </c>
      <c r="AU108" s="150">
        <f>+AU107-AU106</f>
        <v>0</v>
      </c>
      <c r="AV108" s="150">
        <f t="shared" si="172"/>
        <v>0</v>
      </c>
      <c r="AW108" s="150">
        <f t="shared" si="172"/>
        <v>1500</v>
      </c>
      <c r="AX108" s="150">
        <f t="shared" si="172"/>
        <v>1500</v>
      </c>
      <c r="BD108" s="138" t="s">
        <v>104</v>
      </c>
      <c r="BE108" s="151">
        <f>BE107*0.9</f>
        <v>0</v>
      </c>
      <c r="BF108" s="151">
        <f>BF107*0.9</f>
        <v>0</v>
      </c>
      <c r="BG108" s="151">
        <f>BG107*0.9</f>
        <v>139.5</v>
      </c>
      <c r="BH108" s="151">
        <f t="shared" ref="BH108:BQ108" si="173">BH107*0.9</f>
        <v>0</v>
      </c>
      <c r="BI108" s="151">
        <f t="shared" si="173"/>
        <v>0</v>
      </c>
      <c r="BJ108" s="151">
        <f t="shared" si="173"/>
        <v>0</v>
      </c>
      <c r="BK108" s="151">
        <f t="shared" si="173"/>
        <v>0</v>
      </c>
      <c r="BL108" s="151">
        <f t="shared" si="173"/>
        <v>0</v>
      </c>
      <c r="BM108" s="151">
        <f t="shared" si="173"/>
        <v>0</v>
      </c>
      <c r="BN108" s="151">
        <f t="shared" si="173"/>
        <v>0</v>
      </c>
      <c r="BO108" s="151">
        <f t="shared" si="173"/>
        <v>0</v>
      </c>
      <c r="BP108" s="151">
        <f t="shared" si="173"/>
        <v>0</v>
      </c>
      <c r="BQ108" s="151">
        <f t="shared" si="173"/>
        <v>0</v>
      </c>
      <c r="BR108" s="147">
        <f>SUM(BE108:BQ108)</f>
        <v>139.5</v>
      </c>
    </row>
    <row r="109" spans="1:97">
      <c r="A109" s="4" t="s">
        <v>102</v>
      </c>
      <c r="B109" s="4"/>
      <c r="C109" s="13">
        <f>+BC106</f>
        <v>0</v>
      </c>
      <c r="D109" s="147"/>
      <c r="AK109" s="154" t="s">
        <v>140</v>
      </c>
      <c r="AL109" s="154">
        <f>+AJ106</f>
        <v>0</v>
      </c>
      <c r="AM109" s="148"/>
      <c r="AN109" s="149"/>
      <c r="AO109" s="150">
        <f t="shared" ref="AO109:AX109" si="174">+AO108*0.9</f>
        <v>10.8</v>
      </c>
      <c r="AP109" s="150">
        <f t="shared" si="174"/>
        <v>3.6</v>
      </c>
      <c r="AQ109" s="150">
        <f t="shared" si="174"/>
        <v>9</v>
      </c>
      <c r="AR109" s="150">
        <f t="shared" si="174"/>
        <v>-4.5</v>
      </c>
      <c r="AS109" s="150">
        <f t="shared" si="174"/>
        <v>900</v>
      </c>
      <c r="AT109" s="150">
        <f t="shared" si="174"/>
        <v>1350</v>
      </c>
      <c r="AU109" s="150">
        <f>+AU108*0.9</f>
        <v>0</v>
      </c>
      <c r="AV109" s="150">
        <f t="shared" si="174"/>
        <v>0</v>
      </c>
      <c r="AW109" s="150">
        <f t="shared" si="174"/>
        <v>1350</v>
      </c>
      <c r="AX109" s="150">
        <f t="shared" si="174"/>
        <v>1350</v>
      </c>
      <c r="BD109" s="139"/>
      <c r="BE109" s="13"/>
      <c r="BF109" s="13"/>
      <c r="BG109" s="13"/>
      <c r="BH109" s="13"/>
      <c r="BI109" s="13"/>
      <c r="BJ109" s="13"/>
      <c r="BK109" s="4"/>
      <c r="BL109" s="4"/>
      <c r="BM109" s="4"/>
      <c r="BN109" s="4"/>
      <c r="BO109" s="4"/>
      <c r="BP109" s="4"/>
      <c r="BQ109" s="4"/>
    </row>
    <row r="110" spans="1:97" ht="15" thickBot="1">
      <c r="A110" s="4" t="s">
        <v>34</v>
      </c>
      <c r="B110" s="4"/>
      <c r="C110" s="152">
        <f>+BA106</f>
        <v>2625</v>
      </c>
      <c r="D110" s="147"/>
      <c r="E110" s="147"/>
      <c r="AK110" s="154" t="s">
        <v>141</v>
      </c>
      <c r="AL110" s="154">
        <f>+AL108+AL109</f>
        <v>683290.29784285696</v>
      </c>
      <c r="AM110" s="148"/>
      <c r="AN110" s="149"/>
      <c r="BD110" s="140" t="s">
        <v>69</v>
      </c>
      <c r="BE110" s="153">
        <f t="shared" ref="BE110:BQ110" si="175">BE56+BE59+BE62+BE65+BE68+BE71+BE74+BE77+BE80+BE83+BE86+BE89+BE92+BE95+BE98+BE103</f>
        <v>0</v>
      </c>
      <c r="BF110" s="153">
        <f t="shared" si="175"/>
        <v>0</v>
      </c>
      <c r="BG110" s="153">
        <f t="shared" si="175"/>
        <v>495</v>
      </c>
      <c r="BH110" s="153" t="e">
        <f t="shared" si="175"/>
        <v>#VALUE!</v>
      </c>
      <c r="BI110" s="153">
        <f t="shared" si="175"/>
        <v>0</v>
      </c>
      <c r="BJ110" s="153">
        <f t="shared" si="175"/>
        <v>0</v>
      </c>
      <c r="BK110" s="153">
        <f t="shared" si="175"/>
        <v>0</v>
      </c>
      <c r="BL110" s="153">
        <f t="shared" si="175"/>
        <v>0</v>
      </c>
      <c r="BM110" s="153">
        <f t="shared" si="175"/>
        <v>0</v>
      </c>
      <c r="BN110" s="153">
        <f t="shared" si="175"/>
        <v>0</v>
      </c>
      <c r="BO110" s="153">
        <f t="shared" si="175"/>
        <v>0</v>
      </c>
      <c r="BP110" s="153">
        <f t="shared" si="175"/>
        <v>0</v>
      </c>
      <c r="BQ110" s="153">
        <f t="shared" si="175"/>
        <v>0</v>
      </c>
      <c r="BR110" s="147" t="e">
        <f>SUM(BE110:BQ110)</f>
        <v>#VALUE!</v>
      </c>
    </row>
    <row r="111" spans="1:97" ht="15" thickTop="1">
      <c r="C111" s="3">
        <f>+C110+C109+C108+C107+C106</f>
        <v>869233.21000000008</v>
      </c>
      <c r="D111" s="147"/>
      <c r="AM111" s="148">
        <f>SUM(AM4:AM105)/2</f>
        <v>81994.83574114283</v>
      </c>
      <c r="AN111" s="149"/>
      <c r="BD111" s="141" t="s">
        <v>104</v>
      </c>
      <c r="BE111" s="153">
        <f>+BE110*0.9</f>
        <v>0</v>
      </c>
      <c r="BF111" s="153">
        <f>+BF110*0.9</f>
        <v>0</v>
      </c>
      <c r="BG111" s="153">
        <f t="shared" ref="BG111:BQ111" si="176">+BG110*0.9</f>
        <v>445.5</v>
      </c>
      <c r="BH111" s="153" t="e">
        <f t="shared" si="176"/>
        <v>#VALUE!</v>
      </c>
      <c r="BI111" s="153">
        <f t="shared" si="176"/>
        <v>0</v>
      </c>
      <c r="BJ111" s="153">
        <f t="shared" si="176"/>
        <v>0</v>
      </c>
      <c r="BK111" s="153">
        <f t="shared" si="176"/>
        <v>0</v>
      </c>
      <c r="BL111" s="153">
        <f t="shared" si="176"/>
        <v>0</v>
      </c>
      <c r="BM111" s="153">
        <f t="shared" si="176"/>
        <v>0</v>
      </c>
      <c r="BN111" s="153">
        <f t="shared" si="176"/>
        <v>0</v>
      </c>
      <c r="BO111" s="153">
        <f t="shared" si="176"/>
        <v>0</v>
      </c>
      <c r="BP111" s="153">
        <f t="shared" si="176"/>
        <v>0</v>
      </c>
      <c r="BQ111" s="153">
        <f t="shared" si="176"/>
        <v>0</v>
      </c>
      <c r="BR111" s="147" t="e">
        <f>SUM(BE111:BQ111)</f>
        <v>#VALUE!</v>
      </c>
    </row>
    <row r="112" spans="1:97">
      <c r="D112" s="147"/>
      <c r="AM112" s="147">
        <f>+AM111/AL110</f>
        <v>0.12</v>
      </c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A113" s="1" t="s">
        <v>117</v>
      </c>
      <c r="C113" s="147"/>
      <c r="D113" s="147"/>
      <c r="AM113" s="148"/>
      <c r="AN113" s="149"/>
      <c r="BD113" s="142"/>
      <c r="BE113" s="147"/>
      <c r="BF113" s="147"/>
      <c r="BG113" s="147"/>
      <c r="BH113" s="147"/>
      <c r="BI113" s="147"/>
      <c r="BJ113" s="147"/>
    </row>
    <row r="114" spans="1:69">
      <c r="D114" s="194" t="s">
        <v>108</v>
      </c>
      <c r="E114" s="194"/>
      <c r="F114" s="194"/>
      <c r="K114" s="4"/>
      <c r="X114" s="4"/>
      <c r="Y114" s="4"/>
      <c r="Z114" s="4"/>
      <c r="AA114" s="4"/>
      <c r="AB114" s="4"/>
      <c r="AC114" s="4"/>
      <c r="AD114" s="4"/>
      <c r="AE114" s="4"/>
      <c r="AF114" s="4"/>
      <c r="AJ114" s="4"/>
      <c r="AM114" s="147"/>
      <c r="AN114" s="147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139"/>
      <c r="BE114" s="53"/>
      <c r="BF114" s="53"/>
      <c r="BG114" s="53"/>
      <c r="BH114" s="53"/>
      <c r="BI114" s="53"/>
      <c r="BJ114" s="53"/>
      <c r="BK114" s="4"/>
      <c r="BL114" s="4"/>
      <c r="BM114" s="4"/>
      <c r="BN114" s="4"/>
      <c r="BO114" s="4"/>
      <c r="BP114" s="4"/>
      <c r="BQ114" s="4"/>
    </row>
    <row r="115" spans="1:69">
      <c r="A115" s="136" t="s">
        <v>96</v>
      </c>
      <c r="C115" s="150"/>
      <c r="D115" s="147" t="s">
        <v>109</v>
      </c>
      <c r="E115" s="136" t="s">
        <v>110</v>
      </c>
      <c r="F115" s="136" t="s">
        <v>2</v>
      </c>
      <c r="AI115" s="147"/>
      <c r="BD115" s="142" t="s">
        <v>99</v>
      </c>
      <c r="BE115" s="150"/>
      <c r="BF115" s="150"/>
      <c r="BG115" s="150"/>
      <c r="BH115" s="150"/>
    </row>
    <row r="116" spans="1:69">
      <c r="A116" s="136" t="s">
        <v>144</v>
      </c>
      <c r="C116" s="150"/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AM117" s="147"/>
      <c r="AN117" s="147"/>
      <c r="BE117" s="150"/>
      <c r="BF117" s="150"/>
      <c r="BG117" s="150"/>
      <c r="BH117" s="150"/>
    </row>
    <row r="118" spans="1:69">
      <c r="D118" s="147"/>
      <c r="E118" s="147"/>
      <c r="BD118" s="142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D121" s="147"/>
      <c r="E121" s="147"/>
      <c r="BE121" s="150"/>
      <c r="BF121" s="150"/>
      <c r="BG121" s="150"/>
      <c r="BH121" s="150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  <row r="191" spans="3:7">
      <c r="C191" s="147"/>
      <c r="D191" s="147"/>
      <c r="E191" s="147"/>
      <c r="F191" s="147"/>
      <c r="G191" s="147"/>
    </row>
  </sheetData>
  <mergeCells count="92"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4:F114"/>
    <mergeCell ref="A96:A97"/>
    <mergeCell ref="A99:A100"/>
    <mergeCell ref="A87:A88"/>
    <mergeCell ref="A102:A103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157"/>
  <sheetViews>
    <sheetView tabSelected="1" zoomScale="120" zoomScaleNormal="120" workbookViewId="0">
      <pane xSplit="2" ySplit="7" topLeftCell="AM68" activePane="bottomRight" state="frozen"/>
      <selection pane="topRight" activeCell="D1" sqref="D1"/>
      <selection pane="bottomLeft" activeCell="A8" sqref="A8"/>
      <selection pane="bottomRight" activeCell="AP79" sqref="AP79"/>
    </sheetView>
  </sheetViews>
  <sheetFormatPr defaultColWidth="9.109375" defaultRowHeight="14.4"/>
  <cols>
    <col min="1" max="1" width="13" style="136" customWidth="1"/>
    <col min="2" max="3" width="5.33203125" style="136" customWidth="1"/>
    <col min="4" max="15" width="10.6640625" style="136" customWidth="1"/>
    <col min="16" max="16" width="19.33203125" style="136" customWidth="1"/>
    <col min="17" max="20" width="10.6640625" style="136" customWidth="1"/>
    <col min="21" max="22" width="11.44140625" style="136" customWidth="1"/>
    <col min="23" max="23" width="15.33203125" style="136" customWidth="1"/>
    <col min="24" max="24" width="10.6640625" style="136" customWidth="1"/>
    <col min="25" max="25" width="12" style="136" customWidth="1"/>
    <col min="26" max="40" width="10.6640625" style="136" customWidth="1"/>
    <col min="41" max="41" width="10.6640625" style="136" hidden="1" customWidth="1"/>
    <col min="42" max="42" width="10.6640625" style="136" customWidth="1"/>
    <col min="43" max="43" width="13" style="136" customWidth="1"/>
    <col min="44" max="53" width="10.6640625" style="136" customWidth="1"/>
    <col min="54" max="55" width="9.109375" style="136"/>
    <col min="56" max="108" width="12.6640625" style="4" customWidth="1"/>
    <col min="109" max="16384" width="9.109375" style="136"/>
  </cols>
  <sheetData>
    <row r="1" spans="1:108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  <c r="Y1" s="1"/>
      <c r="Z1" s="4"/>
      <c r="AA1" s="1"/>
      <c r="AB1" s="5"/>
      <c r="AC1" s="5"/>
      <c r="AD1" s="5"/>
      <c r="AE1" s="5"/>
      <c r="AF1" s="6"/>
      <c r="AG1" s="6"/>
      <c r="AH1" s="6"/>
      <c r="AI1" s="6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108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3"/>
      <c r="U2" s="2"/>
      <c r="V2" s="2"/>
      <c r="W2" s="2"/>
      <c r="X2" s="2"/>
      <c r="Y2" s="1"/>
      <c r="Z2" s="4"/>
      <c r="AA2" s="1"/>
      <c r="AB2" s="5"/>
      <c r="AC2" s="5"/>
      <c r="AD2" s="5"/>
      <c r="AE2" s="5"/>
      <c r="AF2" s="6"/>
      <c r="AG2" s="6"/>
      <c r="AH2" s="6"/>
      <c r="AI2" s="6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108">
      <c r="A3" s="1"/>
      <c r="B3" s="1"/>
      <c r="C3" s="1"/>
      <c r="D3" s="7"/>
      <c r="E3" s="7"/>
      <c r="F3" s="7"/>
      <c r="G3" s="7"/>
      <c r="H3" s="2"/>
      <c r="I3" s="1"/>
      <c r="J3" s="1"/>
      <c r="K3" s="1"/>
      <c r="L3" s="2"/>
      <c r="M3" s="2"/>
      <c r="N3" s="8"/>
      <c r="O3" s="2"/>
      <c r="P3" s="2"/>
      <c r="Q3" s="2"/>
      <c r="R3" s="2"/>
      <c r="S3" s="2"/>
      <c r="T3" s="1"/>
      <c r="U3" s="2"/>
      <c r="V3" s="2"/>
      <c r="W3" s="2"/>
      <c r="X3" s="2"/>
      <c r="Y3" s="1"/>
      <c r="Z3" s="4"/>
      <c r="AA3" s="1"/>
      <c r="AB3" s="5"/>
      <c r="AC3" s="5"/>
      <c r="AD3" s="5"/>
      <c r="AE3" s="5"/>
      <c r="AF3" s="6"/>
      <c r="AG3" s="6"/>
      <c r="AH3" s="6"/>
      <c r="AI3" s="6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108" ht="21.6">
      <c r="A4" s="9"/>
      <c r="B4" s="1"/>
      <c r="C4" s="1"/>
      <c r="D4" s="7"/>
      <c r="E4" s="7"/>
      <c r="F4" s="7"/>
      <c r="G4" s="7"/>
      <c r="H4" s="7"/>
      <c r="I4" s="1"/>
      <c r="J4" s="1"/>
      <c r="K4" s="1"/>
      <c r="L4" s="7"/>
      <c r="M4" s="2"/>
      <c r="N4" s="7"/>
      <c r="O4" s="1"/>
      <c r="P4" s="2"/>
      <c r="Q4" s="2"/>
      <c r="R4" s="2"/>
      <c r="S4" s="2"/>
      <c r="T4" s="1"/>
      <c r="U4" s="4"/>
      <c r="V4" s="4"/>
      <c r="W4" s="4"/>
      <c r="X4" s="1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 t="s">
        <v>34</v>
      </c>
      <c r="CO4" s="144"/>
      <c r="CP4" s="144" t="s">
        <v>25</v>
      </c>
      <c r="CQ4" s="144" t="s">
        <v>35</v>
      </c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 t="s">
        <v>36</v>
      </c>
    </row>
    <row r="5" spans="1:108" ht="22.2" thickBot="1">
      <c r="A5" s="4"/>
      <c r="B5" s="4"/>
      <c r="C5" s="4"/>
      <c r="D5" s="10"/>
      <c r="E5" s="10"/>
      <c r="F5" s="10"/>
      <c r="G5" s="10"/>
      <c r="H5" s="10"/>
      <c r="I5" s="11">
        <v>2.1499999999999998E-2</v>
      </c>
      <c r="J5" s="12">
        <v>5.0000000000000001E-3</v>
      </c>
      <c r="K5" s="13"/>
      <c r="L5" s="10"/>
      <c r="M5" s="10"/>
      <c r="N5" s="10"/>
      <c r="O5" s="10"/>
      <c r="P5" s="10"/>
      <c r="Q5" s="10"/>
      <c r="R5" s="10"/>
      <c r="S5" s="10"/>
      <c r="T5" s="4"/>
      <c r="U5" s="10"/>
      <c r="V5" s="10"/>
      <c r="W5" s="10"/>
      <c r="X5" s="10"/>
      <c r="Y5" s="4"/>
      <c r="Z5" s="4"/>
      <c r="AA5" s="4"/>
      <c r="AB5" s="15"/>
      <c r="AC5" s="15"/>
      <c r="AD5" s="15"/>
      <c r="AE5" s="15"/>
      <c r="AF5" s="16"/>
      <c r="AG5" s="16"/>
      <c r="AH5" s="16"/>
      <c r="AI5" s="1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143">
        <v>0.5</v>
      </c>
      <c r="AX5" s="4"/>
      <c r="AY5" s="4"/>
      <c r="AZ5" s="4"/>
      <c r="BA5" s="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 t="s">
        <v>41</v>
      </c>
      <c r="CN5" s="144"/>
      <c r="CO5" s="144" t="s">
        <v>42</v>
      </c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</row>
    <row r="6" spans="1:108" ht="16.5" customHeight="1" thickTop="1" thickBot="1">
      <c r="A6" s="185"/>
      <c r="B6" s="197" t="s">
        <v>3</v>
      </c>
      <c r="C6" s="176"/>
      <c r="D6" s="202" t="s">
        <v>6</v>
      </c>
      <c r="E6" s="200" t="s">
        <v>8</v>
      </c>
      <c r="F6" s="200" t="s">
        <v>9</v>
      </c>
      <c r="G6" s="177"/>
      <c r="H6" s="202" t="s">
        <v>10</v>
      </c>
      <c r="I6" s="197" t="s">
        <v>14</v>
      </c>
      <c r="J6" s="197" t="s">
        <v>15</v>
      </c>
      <c r="K6" s="197" t="s">
        <v>16</v>
      </c>
      <c r="L6" s="202" t="s">
        <v>23</v>
      </c>
      <c r="M6" s="214" t="s">
        <v>24</v>
      </c>
      <c r="N6" s="202" t="s">
        <v>25</v>
      </c>
      <c r="O6" s="202" t="s">
        <v>26</v>
      </c>
      <c r="P6" s="184"/>
      <c r="Q6" s="207" t="s">
        <v>29</v>
      </c>
      <c r="R6" s="216"/>
      <c r="S6" s="200" t="s">
        <v>30</v>
      </c>
      <c r="T6" s="200" t="s">
        <v>31</v>
      </c>
      <c r="U6" s="222" t="s">
        <v>33</v>
      </c>
      <c r="V6" s="189"/>
      <c r="W6" s="217" t="s">
        <v>103</v>
      </c>
      <c r="X6" s="17"/>
      <c r="Y6" s="209" t="s">
        <v>63</v>
      </c>
      <c r="Z6" s="209" t="s">
        <v>64</v>
      </c>
      <c r="AA6" s="209" t="s">
        <v>111</v>
      </c>
      <c r="AB6" s="209" t="s">
        <v>65</v>
      </c>
      <c r="AC6" s="209" t="s">
        <v>98</v>
      </c>
      <c r="AD6" s="209" t="s">
        <v>119</v>
      </c>
      <c r="AE6" s="209" t="s">
        <v>113</v>
      </c>
      <c r="AF6" s="209" t="s">
        <v>114</v>
      </c>
      <c r="AG6" s="209" t="s">
        <v>115</v>
      </c>
      <c r="AH6" s="179"/>
      <c r="AI6" s="177"/>
      <c r="AJ6" s="211" t="s">
        <v>34</v>
      </c>
      <c r="AK6" s="181"/>
      <c r="AL6" s="200" t="s">
        <v>25</v>
      </c>
      <c r="AM6" s="200" t="s">
        <v>35</v>
      </c>
      <c r="AN6" s="209" t="s">
        <v>153</v>
      </c>
      <c r="AO6" s="209" t="s">
        <v>143</v>
      </c>
      <c r="AP6" s="209" t="s">
        <v>112</v>
      </c>
      <c r="AQ6" s="209" t="s">
        <v>146</v>
      </c>
      <c r="AR6" s="209" t="s">
        <v>150</v>
      </c>
      <c r="AS6" s="209" t="s">
        <v>151</v>
      </c>
      <c r="AT6" s="209" t="s">
        <v>152</v>
      </c>
      <c r="AU6" s="209" t="s">
        <v>145</v>
      </c>
      <c r="AV6" s="209" t="s">
        <v>116</v>
      </c>
      <c r="AW6" s="209" t="s">
        <v>118</v>
      </c>
      <c r="AX6" s="18"/>
      <c r="AY6" s="18"/>
      <c r="AZ6" s="18"/>
      <c r="BA6" s="207" t="s">
        <v>36</v>
      </c>
    </row>
    <row r="7" spans="1:108" ht="31.8" thickTop="1" thickBot="1">
      <c r="A7" s="186"/>
      <c r="B7" s="224"/>
      <c r="C7" s="191"/>
      <c r="D7" s="206"/>
      <c r="E7" s="201"/>
      <c r="F7" s="201"/>
      <c r="G7" s="178"/>
      <c r="H7" s="203"/>
      <c r="I7" s="198"/>
      <c r="J7" s="198"/>
      <c r="K7" s="198"/>
      <c r="L7" s="206"/>
      <c r="M7" s="215"/>
      <c r="N7" s="206"/>
      <c r="O7" s="206"/>
      <c r="P7" s="119" t="s">
        <v>97</v>
      </c>
      <c r="Q7" s="20" t="s">
        <v>38</v>
      </c>
      <c r="R7" s="20" t="s">
        <v>39</v>
      </c>
      <c r="S7" s="213"/>
      <c r="T7" s="201"/>
      <c r="U7" s="223"/>
      <c r="V7" s="190"/>
      <c r="W7" s="218"/>
      <c r="X7" s="21" t="s">
        <v>66</v>
      </c>
      <c r="Y7" s="210"/>
      <c r="Z7" s="210"/>
      <c r="AA7" s="210"/>
      <c r="AB7" s="210"/>
      <c r="AC7" s="210"/>
      <c r="AD7" s="210"/>
      <c r="AE7" s="210"/>
      <c r="AF7" s="210"/>
      <c r="AG7" s="210"/>
      <c r="AH7" s="180"/>
      <c r="AI7" s="183" t="s">
        <v>41</v>
      </c>
      <c r="AJ7" s="212"/>
      <c r="AK7" s="182" t="s">
        <v>42</v>
      </c>
      <c r="AL7" s="213"/>
      <c r="AM7" s="213"/>
      <c r="AN7" s="210"/>
      <c r="AO7" s="210"/>
      <c r="AP7" s="210"/>
      <c r="AQ7" s="210"/>
      <c r="AR7" s="210"/>
      <c r="AS7" s="210"/>
      <c r="AT7" s="210"/>
      <c r="AU7" s="210"/>
      <c r="AV7" s="210"/>
      <c r="AW7" s="210"/>
      <c r="AX7" s="22"/>
      <c r="AY7" s="22"/>
      <c r="AZ7" s="22"/>
      <c r="BA7" s="208"/>
      <c r="BD7" s="4" t="s">
        <v>58</v>
      </c>
      <c r="BE7" s="4" t="s">
        <v>59</v>
      </c>
      <c r="BF7" s="4" t="s">
        <v>60</v>
      </c>
      <c r="BG7" s="4" t="s">
        <v>61</v>
      </c>
      <c r="BH7" s="4" t="s">
        <v>36</v>
      </c>
    </row>
    <row r="8" spans="1:108" ht="15" thickTop="1">
      <c r="A8" s="24"/>
      <c r="B8" s="24"/>
      <c r="C8" s="24"/>
      <c r="D8" s="26"/>
      <c r="E8" s="25"/>
      <c r="F8" s="25"/>
      <c r="G8" s="25"/>
      <c r="H8" s="26"/>
      <c r="I8" s="24"/>
      <c r="J8" s="24"/>
      <c r="K8" s="24"/>
      <c r="L8" s="26"/>
      <c r="M8" s="26"/>
      <c r="N8" s="26"/>
      <c r="O8" s="34"/>
      <c r="P8" s="28"/>
      <c r="Q8" s="25"/>
      <c r="R8" s="25"/>
      <c r="S8" s="25"/>
      <c r="T8" s="25"/>
      <c r="U8" s="25"/>
      <c r="V8" s="25"/>
      <c r="W8" s="25"/>
      <c r="X8" s="29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25"/>
      <c r="AJ8" s="28"/>
      <c r="AK8" s="28"/>
      <c r="AL8" s="25"/>
      <c r="AM8" s="25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31"/>
    </row>
    <row r="9" spans="1:108">
      <c r="A9" s="187">
        <v>43282</v>
      </c>
      <c r="B9" s="32" t="s">
        <v>43</v>
      </c>
      <c r="C9" s="32"/>
      <c r="D9" s="34"/>
      <c r="E9" s="33">
        <v>0</v>
      </c>
      <c r="F9" s="33">
        <v>0</v>
      </c>
      <c r="G9" s="33"/>
      <c r="H9" s="34"/>
      <c r="I9" s="36">
        <v>0</v>
      </c>
      <c r="J9" s="36">
        <v>0</v>
      </c>
      <c r="K9" s="36">
        <v>0</v>
      </c>
      <c r="L9" s="34"/>
      <c r="M9" s="34"/>
      <c r="N9" s="34"/>
      <c r="O9" s="34"/>
      <c r="P9" s="38"/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/>
      <c r="W9" s="33">
        <v>0</v>
      </c>
      <c r="X9" s="39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33">
        <v>0</v>
      </c>
      <c r="AJ9" s="38"/>
      <c r="AK9" s="38"/>
      <c r="AL9" s="33">
        <v>0</v>
      </c>
      <c r="AM9" s="33">
        <v>0</v>
      </c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41">
        <v>0</v>
      </c>
    </row>
    <row r="10" spans="1:108">
      <c r="A10" s="187">
        <v>43282</v>
      </c>
      <c r="B10" s="15" t="s">
        <v>44</v>
      </c>
      <c r="C10" s="15"/>
      <c r="D10" s="34"/>
      <c r="E10" s="33">
        <v>0</v>
      </c>
      <c r="F10" s="33">
        <v>0</v>
      </c>
      <c r="G10" s="33"/>
      <c r="H10" s="34"/>
      <c r="I10" s="36">
        <v>0</v>
      </c>
      <c r="J10" s="36">
        <v>0</v>
      </c>
      <c r="K10" s="36">
        <v>0</v>
      </c>
      <c r="L10" s="34"/>
      <c r="M10" s="34"/>
      <c r="N10" s="34"/>
      <c r="O10" s="34"/>
      <c r="P10" s="38"/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/>
      <c r="W10" s="33">
        <v>0</v>
      </c>
      <c r="X10" s="39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33">
        <v>0</v>
      </c>
      <c r="AJ10" s="38"/>
      <c r="AK10" s="38"/>
      <c r="AL10" s="33">
        <v>0</v>
      </c>
      <c r="AM10" s="33">
        <v>0</v>
      </c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41">
        <v>0</v>
      </c>
    </row>
    <row r="11" spans="1:108">
      <c r="A11" s="187">
        <v>43283</v>
      </c>
      <c r="B11" s="32" t="s">
        <v>43</v>
      </c>
      <c r="C11" s="32"/>
      <c r="D11" s="34">
        <v>9775</v>
      </c>
      <c r="E11" s="33">
        <v>0</v>
      </c>
      <c r="F11" s="33">
        <v>-0.87999999999919964</v>
      </c>
      <c r="G11" s="33"/>
      <c r="H11" s="34"/>
      <c r="I11" s="36">
        <v>45.409075000000001</v>
      </c>
      <c r="J11" s="36">
        <v>10.560250000000002</v>
      </c>
      <c r="K11" s="36">
        <v>2056.0806750000002</v>
      </c>
      <c r="L11" s="34">
        <v>87.946428571428569</v>
      </c>
      <c r="M11" s="34">
        <v>0</v>
      </c>
      <c r="N11" s="34">
        <v>0</v>
      </c>
      <c r="O11" s="34">
        <v>167.41071428571428</v>
      </c>
      <c r="P11" s="38"/>
      <c r="Q11" s="33">
        <v>-587.98239999999998</v>
      </c>
      <c r="R11" s="33">
        <v>-103.7616</v>
      </c>
      <c r="S11" s="33">
        <v>-172.93600000000001</v>
      </c>
      <c r="T11" s="33">
        <v>-10095.973214285714</v>
      </c>
      <c r="U11" s="33">
        <v>-1177.1967857142856</v>
      </c>
      <c r="V11" s="33">
        <f>SUM(D11:U11)</f>
        <v>3.6771428571453271</v>
      </c>
      <c r="W11" s="33">
        <v>10987.17</v>
      </c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33">
        <v>0</v>
      </c>
      <c r="AJ11" s="38"/>
      <c r="AK11" s="38"/>
      <c r="AL11" s="33">
        <v>0</v>
      </c>
      <c r="AM11" s="33">
        <v>0</v>
      </c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41">
        <v>0</v>
      </c>
      <c r="BC11" s="146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</row>
    <row r="12" spans="1:108">
      <c r="A12" s="187">
        <v>43283</v>
      </c>
      <c r="B12" s="15" t="s">
        <v>44</v>
      </c>
      <c r="C12" s="15"/>
      <c r="D12" s="34">
        <v>8726</v>
      </c>
      <c r="E12" s="33">
        <v>0</v>
      </c>
      <c r="F12" s="33">
        <v>-0.94000000000050932</v>
      </c>
      <c r="G12" s="33"/>
      <c r="H12" s="34"/>
      <c r="I12" s="36">
        <v>59.786554999999993</v>
      </c>
      <c r="J12" s="36">
        <v>13.90385</v>
      </c>
      <c r="K12" s="36">
        <v>2707.0795949999997</v>
      </c>
      <c r="L12" s="34">
        <v>43.928571428571423</v>
      </c>
      <c r="M12" s="34">
        <v>0</v>
      </c>
      <c r="N12" s="34">
        <v>0</v>
      </c>
      <c r="O12" s="34">
        <v>38.267857142857139</v>
      </c>
      <c r="P12" s="38"/>
      <c r="Q12" s="33">
        <v>-613.08800000000008</v>
      </c>
      <c r="R12" s="33">
        <v>-108.19200000000001</v>
      </c>
      <c r="S12" s="33">
        <v>-180.32000000000002</v>
      </c>
      <c r="T12" s="33">
        <v>-793.40800000000013</v>
      </c>
      <c r="U12" s="33">
        <v>-84.161760000000015</v>
      </c>
      <c r="V12" s="33">
        <f t="shared" ref="V12:V70" si="0">SUM(D12:U12)</f>
        <v>9808.8566685714268</v>
      </c>
      <c r="W12" s="33">
        <v>785.50976000000014</v>
      </c>
      <c r="X12" s="39">
        <v>165</v>
      </c>
      <c r="Y12" s="40">
        <v>296</v>
      </c>
      <c r="Z12" s="40"/>
      <c r="AA12" s="40"/>
      <c r="AB12" s="40"/>
      <c r="AC12" s="40"/>
      <c r="AD12" s="40"/>
      <c r="AE12" s="40"/>
      <c r="AF12" s="40"/>
      <c r="AG12" s="40"/>
      <c r="AH12" s="40"/>
      <c r="AI12" s="33">
        <v>461</v>
      </c>
      <c r="AJ12" s="38"/>
      <c r="AK12" s="38">
        <v>0</v>
      </c>
      <c r="AL12" s="33">
        <v>0</v>
      </c>
      <c r="AM12" s="33">
        <v>0</v>
      </c>
      <c r="AN12" s="39"/>
      <c r="AO12" s="39"/>
      <c r="AP12" s="39"/>
      <c r="AQ12" s="39">
        <v>0</v>
      </c>
      <c r="AR12" s="39"/>
      <c r="AS12" s="39"/>
      <c r="AT12" s="39"/>
      <c r="AU12" s="39"/>
      <c r="AV12" s="39"/>
      <c r="AW12" s="39"/>
      <c r="AX12" s="39"/>
      <c r="AY12" s="39"/>
      <c r="AZ12" s="39"/>
      <c r="BA12" s="41">
        <v>461</v>
      </c>
      <c r="BC12" s="146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</row>
    <row r="13" spans="1:108">
      <c r="A13" s="187">
        <v>43284</v>
      </c>
      <c r="B13" s="32" t="s">
        <v>43</v>
      </c>
      <c r="C13" s="32"/>
      <c r="D13" s="34">
        <v>15160</v>
      </c>
      <c r="E13" s="33">
        <v>0</v>
      </c>
      <c r="F13" s="33">
        <v>-0.68000000000029104</v>
      </c>
      <c r="G13" s="33"/>
      <c r="H13" s="34"/>
      <c r="I13" s="36">
        <v>71.402359999999987</v>
      </c>
      <c r="J13" s="36">
        <v>16.6052</v>
      </c>
      <c r="K13" s="36">
        <v>3233.03244</v>
      </c>
      <c r="L13" s="34">
        <v>111.83035714285714</v>
      </c>
      <c r="M13" s="34">
        <v>0</v>
      </c>
      <c r="N13" s="34">
        <v>0</v>
      </c>
      <c r="O13" s="34">
        <v>140.83928571428572</v>
      </c>
      <c r="P13" s="38"/>
      <c r="Q13" s="33">
        <v>-1023.3932</v>
      </c>
      <c r="R13" s="33">
        <v>-180.59879999999998</v>
      </c>
      <c r="S13" s="33">
        <v>-300.99799999999999</v>
      </c>
      <c r="T13" s="33">
        <v>-15409.249999999996</v>
      </c>
      <c r="U13" s="33">
        <v>-1815.1511999999996</v>
      </c>
      <c r="V13" s="33">
        <f t="shared" si="0"/>
        <v>3.638442857151631</v>
      </c>
      <c r="W13" s="33">
        <v>16941.411199999995</v>
      </c>
      <c r="X13" s="39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33">
        <v>0</v>
      </c>
      <c r="AJ13" s="38"/>
      <c r="AK13" s="38"/>
      <c r="AL13" s="33">
        <v>0</v>
      </c>
      <c r="AM13" s="33">
        <v>0</v>
      </c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41">
        <v>0</v>
      </c>
      <c r="BC13" s="146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</row>
    <row r="14" spans="1:108">
      <c r="A14" s="187">
        <v>43284</v>
      </c>
      <c r="B14" s="15" t="s">
        <v>44</v>
      </c>
      <c r="C14" s="15"/>
      <c r="D14" s="34">
        <v>11667</v>
      </c>
      <c r="E14" s="33">
        <v>0</v>
      </c>
      <c r="F14" s="33">
        <v>-0.45999999999912689</v>
      </c>
      <c r="G14" s="33"/>
      <c r="H14" s="34"/>
      <c r="I14" s="36">
        <v>12.412380000000001</v>
      </c>
      <c r="J14" s="36">
        <v>2.8866000000000005</v>
      </c>
      <c r="K14" s="36">
        <v>562.02102000000002</v>
      </c>
      <c r="L14" s="34">
        <v>105.13392857142856</v>
      </c>
      <c r="M14" s="34">
        <v>0</v>
      </c>
      <c r="N14" s="34">
        <v>0</v>
      </c>
      <c r="O14" s="34">
        <v>28.696428571428569</v>
      </c>
      <c r="P14" s="38"/>
      <c r="Q14" s="33">
        <v>-675.2672</v>
      </c>
      <c r="R14" s="33">
        <v>-119.1648</v>
      </c>
      <c r="S14" s="33">
        <v>-198.608</v>
      </c>
      <c r="T14" s="33">
        <v>-873.87519999999995</v>
      </c>
      <c r="U14" s="33">
        <v>-86.878223999999989</v>
      </c>
      <c r="V14" s="33">
        <f t="shared" si="0"/>
        <v>10423.896933142858</v>
      </c>
      <c r="W14" s="33">
        <v>810.8634239999999</v>
      </c>
      <c r="X14" s="39">
        <v>150</v>
      </c>
      <c r="Y14" s="40">
        <v>150</v>
      </c>
      <c r="Z14" s="40"/>
      <c r="AA14" s="40"/>
      <c r="AB14" s="40"/>
      <c r="AC14" s="40"/>
      <c r="AD14" s="40"/>
      <c r="AE14" s="40"/>
      <c r="AF14" s="40"/>
      <c r="AG14" s="40"/>
      <c r="AH14" s="40"/>
      <c r="AI14" s="33">
        <v>300</v>
      </c>
      <c r="AJ14" s="38"/>
      <c r="AK14" s="38"/>
      <c r="AL14" s="33">
        <v>0</v>
      </c>
      <c r="AM14" s="33">
        <v>0</v>
      </c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41">
        <v>300</v>
      </c>
      <c r="BC14" s="146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</row>
    <row r="15" spans="1:108">
      <c r="A15" s="187">
        <v>43285</v>
      </c>
      <c r="B15" s="32" t="s">
        <v>43</v>
      </c>
      <c r="C15" s="32"/>
      <c r="D15" s="34">
        <v>12772</v>
      </c>
      <c r="E15" s="33">
        <v>0</v>
      </c>
      <c r="F15" s="33">
        <v>-0.36000000000058208</v>
      </c>
      <c r="G15" s="33"/>
      <c r="H15" s="34"/>
      <c r="I15" s="36">
        <v>95.944609999999997</v>
      </c>
      <c r="J15" s="36">
        <v>22.3127</v>
      </c>
      <c r="K15" s="36">
        <v>4344.28269</v>
      </c>
      <c r="L15" s="34">
        <v>63.392857142857139</v>
      </c>
      <c r="M15" s="34">
        <v>0</v>
      </c>
      <c r="N15" s="34">
        <v>0</v>
      </c>
      <c r="O15" s="34">
        <v>176.1875</v>
      </c>
      <c r="P15" s="38"/>
      <c r="Q15" s="33">
        <v>-939.01199999999994</v>
      </c>
      <c r="R15" s="33">
        <v>-165.708</v>
      </c>
      <c r="S15" s="33">
        <v>-276.18</v>
      </c>
      <c r="T15" s="33">
        <v>-14394.294642857139</v>
      </c>
      <c r="U15" s="33">
        <v>-1695.1157571428566</v>
      </c>
      <c r="V15" s="33">
        <f t="shared" si="0"/>
        <v>3.4499571428632407</v>
      </c>
      <c r="W15" s="33">
        <v>15821.080399999995</v>
      </c>
      <c r="X15" s="3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33">
        <v>0</v>
      </c>
      <c r="AJ15" s="38"/>
      <c r="AK15" s="38"/>
      <c r="AL15" s="33">
        <v>0</v>
      </c>
      <c r="AM15" s="33">
        <v>0</v>
      </c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41">
        <v>0</v>
      </c>
      <c r="BC15" s="146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</row>
    <row r="16" spans="1:108">
      <c r="A16" s="187">
        <v>43285</v>
      </c>
      <c r="B16" s="15" t="s">
        <v>44</v>
      </c>
      <c r="C16" s="15"/>
      <c r="D16" s="34">
        <v>11960</v>
      </c>
      <c r="E16" s="33">
        <v>0</v>
      </c>
      <c r="F16" s="33">
        <v>-1.8700000000008004</v>
      </c>
      <c r="G16" s="33"/>
      <c r="H16" s="34"/>
      <c r="I16" s="36">
        <v>19.906634999999998</v>
      </c>
      <c r="J16" s="36">
        <v>4.6294500000000003</v>
      </c>
      <c r="K16" s="36">
        <v>901.35391499999992</v>
      </c>
      <c r="L16" s="34">
        <v>32.678571428571423</v>
      </c>
      <c r="M16" s="34">
        <v>0</v>
      </c>
      <c r="N16" s="34">
        <v>0</v>
      </c>
      <c r="O16" s="34">
        <v>26.303571428571427</v>
      </c>
      <c r="P16" s="38"/>
      <c r="Q16" s="33">
        <v>-618.82039999999995</v>
      </c>
      <c r="R16" s="33">
        <v>-109.20359999999999</v>
      </c>
      <c r="S16" s="33">
        <v>-182.006</v>
      </c>
      <c r="T16" s="33">
        <v>-10750.044642857141</v>
      </c>
      <c r="U16" s="33">
        <v>-1282.078157142857</v>
      </c>
      <c r="V16" s="33">
        <f t="shared" si="0"/>
        <v>0.84934285714098223</v>
      </c>
      <c r="W16" s="33">
        <v>11966.0628</v>
      </c>
      <c r="X16" s="39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33">
        <v>0</v>
      </c>
      <c r="AJ16" s="38"/>
      <c r="AK16" s="38"/>
      <c r="AL16" s="33">
        <v>0</v>
      </c>
      <c r="AM16" s="33">
        <v>0</v>
      </c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41">
        <v>0</v>
      </c>
      <c r="BC16" s="146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</row>
    <row r="17" spans="1:80">
      <c r="A17" s="187">
        <v>43286</v>
      </c>
      <c r="B17" s="32" t="s">
        <v>43</v>
      </c>
      <c r="C17" s="32"/>
      <c r="D17" s="34">
        <v>15960</v>
      </c>
      <c r="E17" s="33">
        <v>0</v>
      </c>
      <c r="F17" s="33">
        <v>-4.4899999999997817</v>
      </c>
      <c r="G17" s="33"/>
      <c r="H17" s="34"/>
      <c r="I17" s="36">
        <v>179.58821</v>
      </c>
      <c r="J17" s="36">
        <v>41.764700000000005</v>
      </c>
      <c r="K17" s="36">
        <v>8131.5870900000009</v>
      </c>
      <c r="L17" s="34">
        <v>52.008928571428569</v>
      </c>
      <c r="M17" s="34">
        <v>0</v>
      </c>
      <c r="N17" s="34">
        <v>0</v>
      </c>
      <c r="O17" s="34">
        <v>319.15178571428567</v>
      </c>
      <c r="P17" s="38"/>
      <c r="Q17" s="33">
        <v>-1274.0616</v>
      </c>
      <c r="R17" s="33">
        <v>-224.83439999999999</v>
      </c>
      <c r="S17" s="33">
        <v>-374.72399999999999</v>
      </c>
      <c r="T17" s="33">
        <v>-20402.258928571428</v>
      </c>
      <c r="U17" s="33">
        <v>-2398.3870714285713</v>
      </c>
      <c r="V17" s="33">
        <f t="shared" si="0"/>
        <v>5.3447142857166909</v>
      </c>
      <c r="W17" s="33">
        <v>22384.945999999996</v>
      </c>
      <c r="X17" s="39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33">
        <v>0</v>
      </c>
      <c r="AJ17" s="38"/>
      <c r="AK17" s="38"/>
      <c r="AL17" s="33">
        <v>0</v>
      </c>
      <c r="AM17" s="33">
        <v>0</v>
      </c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41">
        <v>0</v>
      </c>
      <c r="BC17" s="146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</row>
    <row r="18" spans="1:80">
      <c r="A18" s="187">
        <v>43286</v>
      </c>
      <c r="B18" s="15" t="s">
        <v>44</v>
      </c>
      <c r="C18" s="15"/>
      <c r="D18" s="34">
        <v>19718</v>
      </c>
      <c r="E18" s="33">
        <v>0</v>
      </c>
      <c r="F18" s="33">
        <v>-4.0900000000001455</v>
      </c>
      <c r="G18" s="33"/>
      <c r="H18" s="34"/>
      <c r="I18" s="36">
        <v>137.30953499999998</v>
      </c>
      <c r="J18" s="36">
        <v>31.932449999999999</v>
      </c>
      <c r="K18" s="36">
        <v>6217.2480149999992</v>
      </c>
      <c r="L18" s="34">
        <v>44.330357142857139</v>
      </c>
      <c r="M18" s="34">
        <v>0</v>
      </c>
      <c r="N18" s="34">
        <v>0</v>
      </c>
      <c r="O18" s="34">
        <v>0</v>
      </c>
      <c r="P18" s="38"/>
      <c r="Q18" s="33">
        <v>-1370.914</v>
      </c>
      <c r="R18" s="33">
        <v>-241.92600000000002</v>
      </c>
      <c r="S18" s="33">
        <v>-403.21000000000004</v>
      </c>
      <c r="T18" s="33">
        <v>-21548.214285714283</v>
      </c>
      <c r="U18" s="33">
        <v>-2579.8277142857137</v>
      </c>
      <c r="V18" s="33">
        <f t="shared" si="0"/>
        <v>0.63835714286460643</v>
      </c>
      <c r="W18" s="33">
        <v>24078.391999999996</v>
      </c>
      <c r="X18" s="39"/>
      <c r="Y18" s="40">
        <v>970</v>
      </c>
      <c r="Z18" s="40">
        <v>400</v>
      </c>
      <c r="AA18" s="40"/>
      <c r="AB18" s="40"/>
      <c r="AC18" s="40"/>
      <c r="AD18" s="40"/>
      <c r="AE18" s="40"/>
      <c r="AF18" s="40"/>
      <c r="AG18" s="40"/>
      <c r="AH18" s="40"/>
      <c r="AI18" s="33">
        <v>1370</v>
      </c>
      <c r="AJ18" s="38"/>
      <c r="AK18" s="38"/>
      <c r="AL18" s="33">
        <v>0</v>
      </c>
      <c r="AM18" s="33">
        <v>0</v>
      </c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41">
        <v>1370</v>
      </c>
      <c r="BC18" s="146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</row>
    <row r="19" spans="1:80">
      <c r="A19" s="187">
        <v>43287</v>
      </c>
      <c r="B19" s="32" t="s">
        <v>43</v>
      </c>
      <c r="C19" s="32"/>
      <c r="D19" s="34">
        <v>25296</v>
      </c>
      <c r="E19" s="33">
        <v>0</v>
      </c>
      <c r="F19" s="33">
        <v>-0.47999999999956344</v>
      </c>
      <c r="G19" s="33"/>
      <c r="H19" s="34"/>
      <c r="I19" s="36">
        <v>287.09250999999995</v>
      </c>
      <c r="J19" s="36">
        <v>66.765699999999995</v>
      </c>
      <c r="K19" s="36">
        <v>12999.281789999999</v>
      </c>
      <c r="L19" s="34">
        <v>84.598214285714278</v>
      </c>
      <c r="M19" s="34">
        <v>0</v>
      </c>
      <c r="N19" s="34">
        <v>0</v>
      </c>
      <c r="O19" s="34">
        <v>58.196428571428569</v>
      </c>
      <c r="P19" s="38"/>
      <c r="Q19" s="33">
        <v>-2109.8359999999998</v>
      </c>
      <c r="R19" s="33">
        <v>-372.32399999999996</v>
      </c>
      <c r="S19" s="33">
        <v>-620.54</v>
      </c>
      <c r="T19" s="33">
        <v>-31880.258928571424</v>
      </c>
      <c r="U19" s="33">
        <v>-3806.4394714285709</v>
      </c>
      <c r="V19" s="33">
        <f t="shared" si="0"/>
        <v>2.0562428571420241</v>
      </c>
      <c r="W19" s="33">
        <v>35526.768399999994</v>
      </c>
      <c r="X19" s="39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3">
        <v>0</v>
      </c>
      <c r="AJ19" s="38"/>
      <c r="AK19" s="38"/>
      <c r="AL19" s="33">
        <v>0</v>
      </c>
      <c r="AM19" s="33">
        <v>0</v>
      </c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41">
        <v>0</v>
      </c>
      <c r="BC19" s="146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</row>
    <row r="20" spans="1:80">
      <c r="A20" s="187">
        <v>43287</v>
      </c>
      <c r="B20" s="15" t="s">
        <v>44</v>
      </c>
      <c r="C20" s="15"/>
      <c r="D20" s="34">
        <v>14535</v>
      </c>
      <c r="E20" s="33">
        <v>0</v>
      </c>
      <c r="F20" s="33">
        <v>-7.75</v>
      </c>
      <c r="G20" s="33"/>
      <c r="H20" s="34"/>
      <c r="I20" s="36">
        <v>77.284759999999991</v>
      </c>
      <c r="J20" s="36">
        <v>17.973199999999999</v>
      </c>
      <c r="K20" s="36">
        <v>3499.38204</v>
      </c>
      <c r="L20" s="34">
        <v>130.53571428571425</v>
      </c>
      <c r="M20" s="34">
        <v>0</v>
      </c>
      <c r="N20" s="34">
        <v>0</v>
      </c>
      <c r="O20" s="34">
        <v>127.95535714285714</v>
      </c>
      <c r="P20" s="38"/>
      <c r="Q20" s="33">
        <v>-918.25840000000005</v>
      </c>
      <c r="R20" s="33">
        <v>-162.04560000000001</v>
      </c>
      <c r="S20" s="33">
        <v>-270.07600000000002</v>
      </c>
      <c r="T20" s="33">
        <v>-15233.053571428571</v>
      </c>
      <c r="U20" s="33">
        <v>-1793.2252285714285</v>
      </c>
      <c r="V20" s="33">
        <f t="shared" si="0"/>
        <v>3.7222714285717302</v>
      </c>
      <c r="W20" s="33">
        <v>16736.768799999998</v>
      </c>
      <c r="X20" s="39"/>
      <c r="Y20" s="40"/>
      <c r="Z20" s="40"/>
      <c r="AA20" s="40">
        <v>495</v>
      </c>
      <c r="AB20" s="40"/>
      <c r="AC20" s="40"/>
      <c r="AD20" s="40"/>
      <c r="AE20" s="40"/>
      <c r="AF20" s="40"/>
      <c r="AG20" s="40"/>
      <c r="AH20" s="40"/>
      <c r="AI20" s="33"/>
      <c r="AJ20" s="38">
        <v>870</v>
      </c>
      <c r="AK20" s="38"/>
      <c r="AL20" s="33">
        <v>0</v>
      </c>
      <c r="AM20" s="33">
        <v>0</v>
      </c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41">
        <v>870</v>
      </c>
      <c r="BC20" s="146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</row>
    <row r="21" spans="1:80">
      <c r="A21" s="187">
        <v>43288</v>
      </c>
      <c r="B21" s="32" t="s">
        <v>43</v>
      </c>
      <c r="C21" s="32"/>
      <c r="D21" s="34"/>
      <c r="E21" s="33">
        <v>0</v>
      </c>
      <c r="F21" s="33">
        <v>0</v>
      </c>
      <c r="G21" s="33"/>
      <c r="H21" s="34"/>
      <c r="I21" s="36">
        <v>0</v>
      </c>
      <c r="J21" s="36">
        <v>0</v>
      </c>
      <c r="K21" s="36">
        <v>0</v>
      </c>
      <c r="L21" s="34">
        <v>0</v>
      </c>
      <c r="M21" s="34">
        <v>0</v>
      </c>
      <c r="N21" s="34">
        <v>0</v>
      </c>
      <c r="O21" s="34">
        <v>0</v>
      </c>
      <c r="P21" s="38"/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f t="shared" si="0"/>
        <v>0</v>
      </c>
      <c r="W21" s="33">
        <v>0</v>
      </c>
      <c r="X21" s="39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33">
        <v>0</v>
      </c>
      <c r="AJ21" s="38"/>
      <c r="AK21" s="38"/>
      <c r="AL21" s="33">
        <v>0</v>
      </c>
      <c r="AM21" s="33">
        <v>0</v>
      </c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41">
        <v>0</v>
      </c>
      <c r="BC21" s="146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</row>
    <row r="22" spans="1:80">
      <c r="A22" s="187">
        <v>43288</v>
      </c>
      <c r="B22" s="15" t="s">
        <v>44</v>
      </c>
      <c r="C22" s="15"/>
      <c r="D22" s="34">
        <v>14580</v>
      </c>
      <c r="E22" s="33">
        <v>0</v>
      </c>
      <c r="F22" s="33">
        <v>-0.18000000000029104</v>
      </c>
      <c r="G22" s="33"/>
      <c r="H22" s="34"/>
      <c r="I22" s="36">
        <v>32.511009999999999</v>
      </c>
      <c r="J22" s="36">
        <v>7.5607000000000006</v>
      </c>
      <c r="K22" s="36">
        <v>1472.0682900000002</v>
      </c>
      <c r="L22" s="34">
        <v>0</v>
      </c>
      <c r="M22" s="34">
        <v>0</v>
      </c>
      <c r="N22" s="34">
        <v>0</v>
      </c>
      <c r="O22" s="34">
        <v>0</v>
      </c>
      <c r="P22" s="38"/>
      <c r="Q22" s="33">
        <v>-863.96039999999994</v>
      </c>
      <c r="R22" s="33">
        <v>-152.46359999999999</v>
      </c>
      <c r="S22" s="33">
        <v>-254.10599999999999</v>
      </c>
      <c r="T22" s="33">
        <v>-13233.419642857139</v>
      </c>
      <c r="U22" s="33">
        <v>-1588.0103571428567</v>
      </c>
      <c r="V22" s="33">
        <f t="shared" si="0"/>
        <v>4.0927261579781771E-12</v>
      </c>
      <c r="W22" s="33">
        <v>14821.429999999997</v>
      </c>
      <c r="X22" s="39">
        <v>125</v>
      </c>
      <c r="Y22" s="40"/>
      <c r="Z22" s="40"/>
      <c r="AA22" s="40">
        <v>185</v>
      </c>
      <c r="AB22" s="40"/>
      <c r="AC22" s="40"/>
      <c r="AD22" s="40"/>
      <c r="AE22" s="40"/>
      <c r="AF22" s="40"/>
      <c r="AG22" s="40"/>
      <c r="AH22" s="40"/>
      <c r="AI22" s="33">
        <v>310</v>
      </c>
      <c r="AJ22" s="38"/>
      <c r="AK22" s="38"/>
      <c r="AL22" s="33">
        <v>0</v>
      </c>
      <c r="AM22" s="33">
        <v>0</v>
      </c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41">
        <v>310</v>
      </c>
      <c r="BC22" s="146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</row>
    <row r="23" spans="1:80">
      <c r="A23" s="187">
        <v>43289</v>
      </c>
      <c r="B23" s="32" t="s">
        <v>43</v>
      </c>
      <c r="C23" s="32"/>
      <c r="D23" s="34"/>
      <c r="E23" s="33">
        <v>0</v>
      </c>
      <c r="F23" s="33">
        <v>0</v>
      </c>
      <c r="G23" s="33"/>
      <c r="H23" s="34"/>
      <c r="I23" s="36">
        <v>0</v>
      </c>
      <c r="J23" s="36">
        <v>0</v>
      </c>
      <c r="K23" s="36">
        <v>0</v>
      </c>
      <c r="L23" s="34">
        <v>0</v>
      </c>
      <c r="M23" s="34">
        <v>0</v>
      </c>
      <c r="N23" s="34">
        <v>0</v>
      </c>
      <c r="O23" s="34">
        <v>0</v>
      </c>
      <c r="P23" s="38"/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f t="shared" si="0"/>
        <v>0</v>
      </c>
      <c r="W23" s="33">
        <v>0</v>
      </c>
      <c r="X23" s="39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33">
        <v>0</v>
      </c>
      <c r="AJ23" s="38"/>
      <c r="AK23" s="38"/>
      <c r="AL23" s="33">
        <v>0</v>
      </c>
      <c r="AM23" s="33">
        <v>0</v>
      </c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41">
        <v>0</v>
      </c>
      <c r="BC23" s="146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</row>
    <row r="24" spans="1:80">
      <c r="A24" s="187">
        <v>43289</v>
      </c>
      <c r="B24" s="15" t="s">
        <v>44</v>
      </c>
      <c r="C24" s="15"/>
      <c r="D24" s="34"/>
      <c r="E24" s="33">
        <v>0</v>
      </c>
      <c r="F24" s="33">
        <v>0</v>
      </c>
      <c r="G24" s="33"/>
      <c r="H24" s="34"/>
      <c r="I24" s="36">
        <v>0</v>
      </c>
      <c r="J24" s="36">
        <v>0</v>
      </c>
      <c r="K24" s="36">
        <v>0</v>
      </c>
      <c r="L24" s="34">
        <v>0</v>
      </c>
      <c r="M24" s="34">
        <v>0</v>
      </c>
      <c r="N24" s="34">
        <v>0</v>
      </c>
      <c r="O24" s="34">
        <v>0</v>
      </c>
      <c r="P24" s="38"/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f t="shared" si="0"/>
        <v>0</v>
      </c>
      <c r="W24" s="33">
        <v>0</v>
      </c>
      <c r="X24" s="39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33">
        <v>0</v>
      </c>
      <c r="AJ24" s="38"/>
      <c r="AK24" s="38">
        <v>0</v>
      </c>
      <c r="AL24" s="33">
        <v>0</v>
      </c>
      <c r="AM24" s="33">
        <v>0</v>
      </c>
      <c r="AN24" s="39"/>
      <c r="AO24" s="39">
        <v>0</v>
      </c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41">
        <v>0</v>
      </c>
      <c r="BC24" s="146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</row>
    <row r="25" spans="1:80">
      <c r="A25" s="187">
        <v>43290</v>
      </c>
      <c r="B25" s="32" t="s">
        <v>43</v>
      </c>
      <c r="C25" s="32"/>
      <c r="D25" s="34">
        <v>13412</v>
      </c>
      <c r="E25" s="33">
        <v>0</v>
      </c>
      <c r="F25" s="33">
        <v>-0.88999999999941792</v>
      </c>
      <c r="G25" s="33"/>
      <c r="H25" s="34"/>
      <c r="I25" s="36">
        <v>166.076965</v>
      </c>
      <c r="J25" s="36">
        <v>38.622550000000004</v>
      </c>
      <c r="K25" s="36">
        <v>7519.810485</v>
      </c>
      <c r="L25" s="34">
        <v>63.839285714285708</v>
      </c>
      <c r="M25" s="34">
        <v>0</v>
      </c>
      <c r="N25" s="34">
        <v>0</v>
      </c>
      <c r="O25" s="34">
        <v>234.37499999999997</v>
      </c>
      <c r="P25" s="38"/>
      <c r="Q25" s="33">
        <v>-1640.3368</v>
      </c>
      <c r="R25" s="33">
        <v>-289.47120000000001</v>
      </c>
      <c r="S25" s="33">
        <v>-482.45200000000006</v>
      </c>
      <c r="T25" s="33">
        <v>-25051.214285714283</v>
      </c>
      <c r="U25" s="33">
        <v>-2966.065714285714</v>
      </c>
      <c r="V25" s="33">
        <f t="shared" si="0"/>
        <v>-8995.7057142857102</v>
      </c>
      <c r="W25" s="33">
        <v>27683.279999999995</v>
      </c>
      <c r="X25" s="39"/>
      <c r="Y25" s="40">
        <v>0</v>
      </c>
      <c r="Z25" s="40"/>
      <c r="AA25" s="40"/>
      <c r="AB25" s="40"/>
      <c r="AC25" s="40"/>
      <c r="AD25" s="40"/>
      <c r="AE25" s="40"/>
      <c r="AF25" s="40"/>
      <c r="AG25" s="40"/>
      <c r="AH25" s="40"/>
      <c r="AI25" s="33">
        <v>0</v>
      </c>
      <c r="AJ25" s="38"/>
      <c r="AK25" s="38"/>
      <c r="AL25" s="33">
        <v>0</v>
      </c>
      <c r="AM25" s="33">
        <v>0</v>
      </c>
      <c r="AN25" s="39"/>
      <c r="AO25" s="39"/>
      <c r="AP25" s="39"/>
      <c r="AQ25" s="39"/>
      <c r="AR25" s="39"/>
      <c r="AS25" s="39"/>
      <c r="AT25" s="39"/>
      <c r="AU25" s="39"/>
      <c r="AV25" s="39">
        <v>0</v>
      </c>
      <c r="AW25" s="39"/>
      <c r="AX25" s="39"/>
      <c r="AY25" s="39"/>
      <c r="AZ25" s="39"/>
      <c r="BA25" s="41">
        <v>0</v>
      </c>
      <c r="BC25" s="146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</row>
    <row r="26" spans="1:80">
      <c r="A26" s="187">
        <v>43290</v>
      </c>
      <c r="B26" s="15" t="s">
        <v>44</v>
      </c>
      <c r="C26" s="15"/>
      <c r="D26" s="34">
        <v>7421</v>
      </c>
      <c r="E26" s="33">
        <v>0</v>
      </c>
      <c r="F26" s="33">
        <v>-0.81999999999970896</v>
      </c>
      <c r="G26" s="33"/>
      <c r="H26" s="34"/>
      <c r="I26" s="36">
        <v>9.9534249999999993</v>
      </c>
      <c r="J26" s="36">
        <v>2.3147500000000001</v>
      </c>
      <c r="K26" s="36">
        <v>450.681825</v>
      </c>
      <c r="L26" s="34">
        <v>0</v>
      </c>
      <c r="M26" s="34">
        <v>0</v>
      </c>
      <c r="N26" s="34">
        <v>0</v>
      </c>
      <c r="O26" s="34">
        <v>28.696428571428569</v>
      </c>
      <c r="P26" s="38"/>
      <c r="Q26" s="33">
        <v>-407.70079999999996</v>
      </c>
      <c r="R26" s="33">
        <v>-71.947199999999995</v>
      </c>
      <c r="S26" s="33">
        <v>-119.91199999999999</v>
      </c>
      <c r="T26" s="33">
        <v>-6531.8839285714284</v>
      </c>
      <c r="U26" s="33">
        <v>-779.96927142857135</v>
      </c>
      <c r="V26" s="33">
        <f t="shared" si="0"/>
        <v>0.41322857142836256</v>
      </c>
      <c r="W26" s="33">
        <v>7279.7131999999992</v>
      </c>
      <c r="X26" s="39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33">
        <v>0</v>
      </c>
      <c r="AJ26" s="38"/>
      <c r="AK26" s="38"/>
      <c r="AL26" s="33">
        <v>0</v>
      </c>
      <c r="AM26" s="33">
        <v>0</v>
      </c>
      <c r="AN26" s="39"/>
      <c r="AO26" s="39"/>
      <c r="AP26" s="39"/>
      <c r="AQ26" s="39"/>
      <c r="AR26" s="39"/>
      <c r="AS26" s="39"/>
      <c r="AT26" s="39"/>
      <c r="AU26" s="39"/>
      <c r="AV26" s="39">
        <v>0</v>
      </c>
      <c r="AW26" s="39"/>
      <c r="AX26" s="39"/>
      <c r="AY26" s="39"/>
      <c r="AZ26" s="39"/>
      <c r="BA26" s="41">
        <v>0</v>
      </c>
      <c r="BC26" s="146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</row>
    <row r="27" spans="1:80">
      <c r="A27" s="187">
        <v>43291</v>
      </c>
      <c r="B27" s="15" t="s">
        <v>43</v>
      </c>
      <c r="C27" s="15"/>
      <c r="D27" s="34">
        <v>10358</v>
      </c>
      <c r="E27" s="33">
        <v>0</v>
      </c>
      <c r="F27" s="33">
        <v>-7.3999999999996362</v>
      </c>
      <c r="G27" s="33"/>
      <c r="H27" s="34"/>
      <c r="I27" s="36">
        <v>139.44018499999999</v>
      </c>
      <c r="J27" s="36">
        <v>32.427950000000003</v>
      </c>
      <c r="K27" s="36">
        <v>6313.7218649999995</v>
      </c>
      <c r="L27" s="34">
        <v>0</v>
      </c>
      <c r="M27" s="34">
        <v>0</v>
      </c>
      <c r="N27" s="34">
        <v>0</v>
      </c>
      <c r="O27" s="34">
        <v>163.82142857142856</v>
      </c>
      <c r="P27" s="38"/>
      <c r="Q27" s="33">
        <v>-871.59680000000003</v>
      </c>
      <c r="R27" s="33">
        <v>-153.81120000000001</v>
      </c>
      <c r="S27" s="33">
        <v>-256.35200000000003</v>
      </c>
      <c r="T27" s="33">
        <v>-14051.705357142853</v>
      </c>
      <c r="U27" s="33">
        <v>-1664.1870428571424</v>
      </c>
      <c r="V27" s="33">
        <f t="shared" si="0"/>
        <v>2.3590285714303718</v>
      </c>
      <c r="W27" s="33">
        <v>15532.412399999996</v>
      </c>
      <c r="X27" s="39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33">
        <v>0</v>
      </c>
      <c r="AJ27" s="38"/>
      <c r="AK27" s="38"/>
      <c r="AL27" s="33">
        <v>0</v>
      </c>
      <c r="AM27" s="33">
        <v>0</v>
      </c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41">
        <v>0</v>
      </c>
      <c r="BC27" s="146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</row>
    <row r="28" spans="1:80">
      <c r="A28" s="187">
        <v>43291</v>
      </c>
      <c r="B28" s="15" t="s">
        <v>44</v>
      </c>
      <c r="C28" s="15"/>
      <c r="D28" s="34">
        <v>9646</v>
      </c>
      <c r="E28" s="33">
        <v>0.93000000000029104</v>
      </c>
      <c r="F28" s="33">
        <v>0</v>
      </c>
      <c r="G28" s="33"/>
      <c r="H28" s="34"/>
      <c r="I28" s="36">
        <v>46.487944999999996</v>
      </c>
      <c r="J28" s="36">
        <v>10.81115</v>
      </c>
      <c r="K28" s="36">
        <v>2104.9309050000002</v>
      </c>
      <c r="L28" s="34">
        <v>41.964285714285708</v>
      </c>
      <c r="M28" s="34">
        <v>0</v>
      </c>
      <c r="N28" s="34">
        <v>0</v>
      </c>
      <c r="O28" s="34">
        <v>23.919642857142854</v>
      </c>
      <c r="P28" s="38"/>
      <c r="Q28" s="33">
        <v>-658.93359999999996</v>
      </c>
      <c r="R28" s="33">
        <v>-116.2824</v>
      </c>
      <c r="S28" s="33">
        <v>-193.804</v>
      </c>
      <c r="T28" s="33">
        <v>-9744.5803571428569</v>
      </c>
      <c r="U28" s="33">
        <v>-1160.4948428571427</v>
      </c>
      <c r="V28" s="33">
        <f t="shared" si="0"/>
        <v>0.9487285714292284</v>
      </c>
      <c r="W28" s="33">
        <v>10831.285199999998</v>
      </c>
      <c r="X28" s="39"/>
      <c r="Y28" s="40"/>
      <c r="Z28" s="40"/>
      <c r="AA28" s="40">
        <v>265</v>
      </c>
      <c r="AB28" s="40"/>
      <c r="AC28" s="40"/>
      <c r="AD28" s="40"/>
      <c r="AE28" s="40"/>
      <c r="AF28" s="40"/>
      <c r="AG28" s="40"/>
      <c r="AH28" s="40"/>
      <c r="AI28" s="33">
        <v>265</v>
      </c>
      <c r="AJ28" s="38">
        <v>135</v>
      </c>
      <c r="AK28" s="38">
        <v>0</v>
      </c>
      <c r="AL28" s="33">
        <v>0</v>
      </c>
      <c r="AM28" s="33">
        <v>0</v>
      </c>
      <c r="AN28" s="39"/>
      <c r="AO28" s="39"/>
      <c r="AP28" s="39"/>
      <c r="AQ28" s="39"/>
      <c r="AR28" s="39">
        <v>0</v>
      </c>
      <c r="AS28" s="39"/>
      <c r="AT28" s="39"/>
      <c r="AU28" s="39"/>
      <c r="AV28" s="39"/>
      <c r="AW28" s="39"/>
      <c r="AX28" s="39"/>
      <c r="AY28" s="39"/>
      <c r="AZ28" s="39"/>
      <c r="BA28" s="41">
        <v>400</v>
      </c>
      <c r="BC28" s="146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</row>
    <row r="29" spans="1:80">
      <c r="A29" s="187">
        <v>43292</v>
      </c>
      <c r="B29" s="16" t="s">
        <v>43</v>
      </c>
      <c r="C29" s="16"/>
      <c r="D29" s="34">
        <v>10875</v>
      </c>
      <c r="E29" s="33">
        <v>5.9999999999490683E-2</v>
      </c>
      <c r="F29" s="33">
        <v>0</v>
      </c>
      <c r="G29" s="33"/>
      <c r="H29" s="34"/>
      <c r="I29" s="36">
        <v>163.70336499999999</v>
      </c>
      <c r="J29" s="36">
        <v>38.070549999999997</v>
      </c>
      <c r="K29" s="36">
        <v>7412.336084999999</v>
      </c>
      <c r="L29" s="34">
        <v>0</v>
      </c>
      <c r="M29" s="34">
        <v>0</v>
      </c>
      <c r="N29" s="34">
        <v>0</v>
      </c>
      <c r="O29" s="34">
        <v>109.21428571428569</v>
      </c>
      <c r="P29" s="38"/>
      <c r="Q29" s="33">
        <v>-878.48520000000008</v>
      </c>
      <c r="R29" s="33">
        <v>-155.02680000000001</v>
      </c>
      <c r="S29" s="33">
        <v>-258.37800000000004</v>
      </c>
      <c r="T29" s="33">
        <v>-15463.928571428572</v>
      </c>
      <c r="U29" s="33">
        <v>-1840.9930285714286</v>
      </c>
      <c r="V29" s="33">
        <f t="shared" si="0"/>
        <v>1.5726857142840345</v>
      </c>
      <c r="W29" s="33">
        <v>17182.601600000002</v>
      </c>
      <c r="X29" s="39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33">
        <v>0</v>
      </c>
      <c r="AJ29" s="38"/>
      <c r="AK29" s="38"/>
      <c r="AL29" s="33">
        <v>0</v>
      </c>
      <c r="AM29" s="33">
        <v>0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41">
        <v>0</v>
      </c>
      <c r="BC29" s="146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</row>
    <row r="30" spans="1:80">
      <c r="A30" s="187">
        <v>43292</v>
      </c>
      <c r="B30" s="16" t="s">
        <v>44</v>
      </c>
      <c r="C30" s="16"/>
      <c r="D30" s="34">
        <v>26618</v>
      </c>
      <c r="E30" s="33">
        <v>0</v>
      </c>
      <c r="F30" s="33">
        <v>-0.43999999999869033</v>
      </c>
      <c r="G30" s="33"/>
      <c r="H30" s="34"/>
      <c r="I30" s="36">
        <v>229.56538999999995</v>
      </c>
      <c r="J30" s="36">
        <v>53.387299999999996</v>
      </c>
      <c r="K30" s="36">
        <v>10394.507309999999</v>
      </c>
      <c r="L30" s="34">
        <v>159.59821428571428</v>
      </c>
      <c r="M30" s="34">
        <v>0</v>
      </c>
      <c r="N30" s="34">
        <v>0</v>
      </c>
      <c r="O30" s="34">
        <v>0</v>
      </c>
      <c r="P30" s="38"/>
      <c r="Q30" s="33">
        <v>-1937.1636000000001</v>
      </c>
      <c r="R30" s="33">
        <v>-341.85239999999999</v>
      </c>
      <c r="S30" s="33">
        <v>-569.75400000000002</v>
      </c>
      <c r="T30" s="33">
        <v>-30915.178571428569</v>
      </c>
      <c r="U30" s="33">
        <v>-3688.3714285714282</v>
      </c>
      <c r="V30" s="33">
        <f t="shared" si="0"/>
        <v>2.2982142857131294</v>
      </c>
      <c r="W30" s="33">
        <v>34424.799999999996</v>
      </c>
      <c r="X30" s="39"/>
      <c r="Y30" s="40"/>
      <c r="Z30" s="40"/>
      <c r="AA30" s="40">
        <v>480</v>
      </c>
      <c r="AB30" s="40"/>
      <c r="AC30" s="40"/>
      <c r="AD30" s="40"/>
      <c r="AE30" s="40"/>
      <c r="AF30" s="40"/>
      <c r="AG30" s="40"/>
      <c r="AH30" s="40"/>
      <c r="AI30" s="33">
        <v>480</v>
      </c>
      <c r="AJ30" s="38"/>
      <c r="AK30" s="38"/>
      <c r="AL30" s="33"/>
      <c r="AM30" s="33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41">
        <v>480</v>
      </c>
      <c r="BC30" s="146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</row>
    <row r="31" spans="1:80">
      <c r="A31" s="187">
        <v>43293</v>
      </c>
      <c r="B31" s="15" t="s">
        <v>43</v>
      </c>
      <c r="C31" s="15"/>
      <c r="D31" s="34">
        <v>14845</v>
      </c>
      <c r="E31" s="33">
        <v>0</v>
      </c>
      <c r="F31" s="33">
        <v>-2.8500000000003638</v>
      </c>
      <c r="G31" s="33"/>
      <c r="H31" s="34"/>
      <c r="I31" s="36">
        <v>82.091515000000001</v>
      </c>
      <c r="J31" s="36">
        <v>19.091049999999999</v>
      </c>
      <c r="K31" s="36">
        <v>3717.027435</v>
      </c>
      <c r="L31" s="34">
        <v>0</v>
      </c>
      <c r="M31" s="34">
        <v>0</v>
      </c>
      <c r="N31" s="34">
        <v>0</v>
      </c>
      <c r="O31" s="34">
        <v>268.46428571428572</v>
      </c>
      <c r="P31" s="38"/>
      <c r="Q31" s="33">
        <v>-867.9860000000001</v>
      </c>
      <c r="R31" s="33">
        <v>-153.17400000000001</v>
      </c>
      <c r="S31" s="33">
        <v>-255.29000000000002</v>
      </c>
      <c r="T31" s="33">
        <v>-15789.812499999998</v>
      </c>
      <c r="U31" s="33">
        <v>-1858.6958999999997</v>
      </c>
      <c r="V31" s="33">
        <f t="shared" si="0"/>
        <v>3.8658857142881971</v>
      </c>
      <c r="W31" s="33">
        <v>17347.828399999999</v>
      </c>
      <c r="X31" s="39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33">
        <v>0</v>
      </c>
      <c r="AJ31" s="38"/>
      <c r="AK31" s="38"/>
      <c r="AL31" s="33">
        <v>0</v>
      </c>
      <c r="AM31" s="33">
        <v>0</v>
      </c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41">
        <v>0</v>
      </c>
      <c r="BC31" s="146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</row>
    <row r="32" spans="1:80">
      <c r="A32" s="187">
        <v>43293</v>
      </c>
      <c r="B32" s="15" t="s">
        <v>44</v>
      </c>
      <c r="C32" s="15"/>
      <c r="D32" s="34">
        <v>11332</v>
      </c>
      <c r="E32" s="33">
        <v>0</v>
      </c>
      <c r="F32" s="33">
        <v>-0.59000000000014552</v>
      </c>
      <c r="G32" s="33"/>
      <c r="H32" s="34"/>
      <c r="I32" s="36">
        <v>289.00020499999999</v>
      </c>
      <c r="J32" s="36">
        <v>67.209350000000001</v>
      </c>
      <c r="K32" s="36">
        <v>13085.660445000001</v>
      </c>
      <c r="L32" s="34">
        <v>0</v>
      </c>
      <c r="M32" s="34">
        <v>0</v>
      </c>
      <c r="N32" s="34">
        <v>0</v>
      </c>
      <c r="O32" s="34">
        <v>0</v>
      </c>
      <c r="P32" s="38"/>
      <c r="Q32" s="33">
        <v>-1326.1904000000002</v>
      </c>
      <c r="R32" s="33">
        <v>-234.03360000000001</v>
      </c>
      <c r="S32" s="33">
        <v>-390.05600000000004</v>
      </c>
      <c r="T32" s="33">
        <v>-20377.678571428569</v>
      </c>
      <c r="U32" s="33">
        <v>-2445.321428571428</v>
      </c>
      <c r="V32" s="33">
        <f t="shared" si="0"/>
        <v>0</v>
      </c>
      <c r="W32" s="33">
        <v>22822.999999999996</v>
      </c>
      <c r="X32" s="39">
        <v>255</v>
      </c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33">
        <v>255</v>
      </c>
      <c r="AJ32" s="38">
        <v>245</v>
      </c>
      <c r="AK32" s="38"/>
      <c r="AL32" s="33"/>
      <c r="AM32" s="33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41">
        <v>500</v>
      </c>
      <c r="BC32" s="146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</row>
    <row r="33" spans="1:112">
      <c r="A33" s="187">
        <v>43294</v>
      </c>
      <c r="B33" s="15" t="s">
        <v>43</v>
      </c>
      <c r="C33" s="15"/>
      <c r="D33" s="34">
        <v>16790</v>
      </c>
      <c r="E33" s="33">
        <v>0</v>
      </c>
      <c r="F33" s="33">
        <v>-4.2000000000007276</v>
      </c>
      <c r="G33" s="33"/>
      <c r="H33" s="34"/>
      <c r="I33" s="36">
        <v>159.75015999999999</v>
      </c>
      <c r="J33" s="36">
        <v>37.151200000000003</v>
      </c>
      <c r="K33" s="36">
        <v>7233.3386399999999</v>
      </c>
      <c r="L33" s="34">
        <v>0</v>
      </c>
      <c r="M33" s="34">
        <v>0</v>
      </c>
      <c r="N33" s="34">
        <v>0</v>
      </c>
      <c r="O33" s="34">
        <v>197.98214285714283</v>
      </c>
      <c r="P33" s="38"/>
      <c r="Q33" s="33">
        <v>-1184.6075999999998</v>
      </c>
      <c r="R33" s="33">
        <v>-209.04839999999999</v>
      </c>
      <c r="S33" s="33">
        <v>-348.41399999999999</v>
      </c>
      <c r="T33" s="33">
        <v>-20399.964285714283</v>
      </c>
      <c r="U33" s="33">
        <v>-2421.3869142857138</v>
      </c>
      <c r="V33" s="33">
        <f t="shared" si="0"/>
        <v>-149.39905714285396</v>
      </c>
      <c r="W33" s="33">
        <v>22599.611199999996</v>
      </c>
      <c r="X33" s="39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33">
        <v>0</v>
      </c>
      <c r="AJ33" s="38"/>
      <c r="AK33" s="38"/>
      <c r="AL33" s="33">
        <v>0</v>
      </c>
      <c r="AM33" s="33">
        <v>0</v>
      </c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41">
        <v>0</v>
      </c>
      <c r="BC33" s="146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</row>
    <row r="34" spans="1:112">
      <c r="A34" s="187">
        <v>43294</v>
      </c>
      <c r="B34" s="15" t="s">
        <v>44</v>
      </c>
      <c r="C34" s="15"/>
      <c r="D34" s="34">
        <v>16867</v>
      </c>
      <c r="E34" s="33">
        <v>0</v>
      </c>
      <c r="F34" s="33">
        <v>-0.65999999999985448</v>
      </c>
      <c r="G34" s="33"/>
      <c r="H34" s="34"/>
      <c r="I34" s="36">
        <v>31.2653</v>
      </c>
      <c r="J34" s="36">
        <v>7.2710000000000008</v>
      </c>
      <c r="K34" s="36">
        <v>1415.6637000000001</v>
      </c>
      <c r="L34" s="34">
        <v>0</v>
      </c>
      <c r="M34" s="34">
        <v>0</v>
      </c>
      <c r="N34" s="34">
        <v>0</v>
      </c>
      <c r="O34" s="34">
        <v>0</v>
      </c>
      <c r="P34" s="38"/>
      <c r="Q34" s="33">
        <v>-999.96719999999993</v>
      </c>
      <c r="R34" s="33">
        <v>-176.4648</v>
      </c>
      <c r="S34" s="33">
        <v>-294.108</v>
      </c>
      <c r="T34" s="33">
        <v>-15044.642857142855</v>
      </c>
      <c r="U34" s="33">
        <v>-1805.3571428571424</v>
      </c>
      <c r="V34" s="33">
        <f t="shared" si="0"/>
        <v>2.5011104298755527E-12</v>
      </c>
      <c r="W34" s="33">
        <v>16849.999999999996</v>
      </c>
      <c r="X34" s="39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33">
        <v>0</v>
      </c>
      <c r="AJ34" s="38"/>
      <c r="AK34" s="38"/>
      <c r="AL34" s="33"/>
      <c r="AM34" s="33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41">
        <v>0</v>
      </c>
      <c r="BC34" s="146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</row>
    <row r="35" spans="1:112">
      <c r="A35" s="187">
        <v>43295</v>
      </c>
      <c r="B35" s="16" t="s">
        <v>43</v>
      </c>
      <c r="C35" s="16"/>
      <c r="D35" s="34"/>
      <c r="E35" s="33">
        <v>0</v>
      </c>
      <c r="F35" s="33">
        <v>0</v>
      </c>
      <c r="G35" s="33"/>
      <c r="H35" s="34"/>
      <c r="I35" s="36">
        <v>0</v>
      </c>
      <c r="J35" s="36">
        <v>0</v>
      </c>
      <c r="K35" s="36">
        <v>0</v>
      </c>
      <c r="L35" s="34">
        <v>0</v>
      </c>
      <c r="M35" s="34">
        <v>0</v>
      </c>
      <c r="N35" s="34">
        <v>0</v>
      </c>
      <c r="O35" s="34">
        <v>0</v>
      </c>
      <c r="P35" s="38"/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f t="shared" si="0"/>
        <v>0</v>
      </c>
      <c r="W35" s="33">
        <v>0</v>
      </c>
      <c r="X35" s="39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33">
        <v>0</v>
      </c>
      <c r="AJ35" s="38"/>
      <c r="AK35" s="38"/>
      <c r="AL35" s="33">
        <v>0</v>
      </c>
      <c r="AM35" s="33">
        <v>0</v>
      </c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1">
        <v>0</v>
      </c>
      <c r="BC35" s="146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</row>
    <row r="36" spans="1:112" s="4" customFormat="1">
      <c r="A36" s="187">
        <v>43295</v>
      </c>
      <c r="B36" s="16" t="s">
        <v>44</v>
      </c>
      <c r="C36" s="16"/>
      <c r="D36" s="34">
        <v>10257</v>
      </c>
      <c r="E36" s="33">
        <v>2.1399999999994179</v>
      </c>
      <c r="F36" s="33">
        <v>0</v>
      </c>
      <c r="G36" s="33"/>
      <c r="H36" s="34"/>
      <c r="I36" s="36">
        <v>13.232175</v>
      </c>
      <c r="J36" s="36">
        <v>3.0772500000000003</v>
      </c>
      <c r="K36" s="36">
        <v>599.14057500000001</v>
      </c>
      <c r="L36" s="34">
        <v>78.169642857142847</v>
      </c>
      <c r="M36" s="34">
        <v>21.428571428571427</v>
      </c>
      <c r="N36" s="34">
        <v>0</v>
      </c>
      <c r="O36" s="34">
        <v>74.9375</v>
      </c>
      <c r="P36" s="38"/>
      <c r="Q36" s="33">
        <v>-584.41239999999993</v>
      </c>
      <c r="R36" s="33">
        <v>-103.13159999999999</v>
      </c>
      <c r="S36" s="33">
        <v>-171.886</v>
      </c>
      <c r="T36" s="33">
        <v>-9116.6428571428551</v>
      </c>
      <c r="U36" s="33">
        <v>-1070.5395428571426</v>
      </c>
      <c r="V36" s="33">
        <f t="shared" si="0"/>
        <v>2.5133142857141593</v>
      </c>
      <c r="W36" s="33">
        <v>9991.7023999999983</v>
      </c>
      <c r="X36" s="39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33">
        <v>0</v>
      </c>
      <c r="AJ36" s="38"/>
      <c r="AK36" s="38"/>
      <c r="AL36" s="33">
        <v>0</v>
      </c>
      <c r="AM36" s="33">
        <v>0</v>
      </c>
      <c r="AN36" s="39"/>
      <c r="AO36" s="39"/>
      <c r="AP36" s="39">
        <v>155</v>
      </c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1">
        <v>0</v>
      </c>
      <c r="BB36" s="136"/>
      <c r="BC36" s="146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DE36" s="136"/>
      <c r="DF36" s="136"/>
      <c r="DG36" s="136"/>
      <c r="DH36" s="136"/>
    </row>
    <row r="37" spans="1:112" s="4" customFormat="1">
      <c r="A37" s="187">
        <v>43296</v>
      </c>
      <c r="B37" s="16" t="s">
        <v>43</v>
      </c>
      <c r="C37" s="16"/>
      <c r="D37" s="34"/>
      <c r="E37" s="33">
        <v>0</v>
      </c>
      <c r="F37" s="33">
        <v>0</v>
      </c>
      <c r="G37" s="33"/>
      <c r="H37" s="34"/>
      <c r="I37" s="36">
        <v>0</v>
      </c>
      <c r="J37" s="36">
        <v>0</v>
      </c>
      <c r="K37" s="36">
        <v>0</v>
      </c>
      <c r="L37" s="34">
        <v>0</v>
      </c>
      <c r="M37" s="34">
        <v>0</v>
      </c>
      <c r="N37" s="34">
        <v>0</v>
      </c>
      <c r="O37" s="34">
        <v>0</v>
      </c>
      <c r="P37" s="38"/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f t="shared" si="0"/>
        <v>0</v>
      </c>
      <c r="W37" s="33">
        <v>0</v>
      </c>
      <c r="X37" s="39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33">
        <v>0</v>
      </c>
      <c r="AJ37" s="38"/>
      <c r="AK37" s="38"/>
      <c r="AL37" s="33">
        <v>0</v>
      </c>
      <c r="AM37" s="33">
        <v>0</v>
      </c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1">
        <v>0</v>
      </c>
      <c r="BB37" s="136"/>
      <c r="BC37" s="146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DE37" s="136"/>
      <c r="DF37" s="136"/>
      <c r="DG37" s="136"/>
      <c r="DH37" s="136"/>
    </row>
    <row r="38" spans="1:112" s="4" customFormat="1">
      <c r="A38" s="187">
        <v>43296</v>
      </c>
      <c r="B38" s="16" t="s">
        <v>44</v>
      </c>
      <c r="C38" s="16"/>
      <c r="D38" s="34"/>
      <c r="E38" s="33">
        <v>0</v>
      </c>
      <c r="F38" s="33">
        <v>0</v>
      </c>
      <c r="G38" s="33"/>
      <c r="H38" s="34"/>
      <c r="I38" s="36">
        <v>0</v>
      </c>
      <c r="J38" s="36">
        <v>0</v>
      </c>
      <c r="K38" s="36">
        <v>0</v>
      </c>
      <c r="L38" s="34">
        <v>0</v>
      </c>
      <c r="M38" s="34">
        <v>0</v>
      </c>
      <c r="N38" s="34">
        <v>0</v>
      </c>
      <c r="O38" s="34">
        <v>0</v>
      </c>
      <c r="P38" s="38"/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f t="shared" si="0"/>
        <v>0</v>
      </c>
      <c r="W38" s="33">
        <v>0</v>
      </c>
      <c r="X38" s="39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33">
        <v>0</v>
      </c>
      <c r="AJ38" s="38"/>
      <c r="AK38" s="38"/>
      <c r="AL38" s="33"/>
      <c r="AM38" s="33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1">
        <v>0</v>
      </c>
      <c r="BB38" s="136"/>
      <c r="BC38" s="146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DE38" s="136"/>
      <c r="DF38" s="136"/>
      <c r="DG38" s="136"/>
      <c r="DH38" s="136"/>
    </row>
    <row r="39" spans="1:112" s="4" customFormat="1">
      <c r="A39" s="187">
        <v>43297</v>
      </c>
      <c r="B39" s="16" t="s">
        <v>43</v>
      </c>
      <c r="C39" s="16"/>
      <c r="D39" s="34">
        <v>5242</v>
      </c>
      <c r="E39" s="33">
        <v>0</v>
      </c>
      <c r="F39" s="33">
        <v>-4.2600000000002183</v>
      </c>
      <c r="G39" s="33"/>
      <c r="H39" s="34"/>
      <c r="I39" s="36">
        <v>149.534435</v>
      </c>
      <c r="J39" s="36">
        <v>34.775449999999999</v>
      </c>
      <c r="K39" s="36">
        <v>6770.7801150000005</v>
      </c>
      <c r="L39" s="34">
        <v>0</v>
      </c>
      <c r="M39" s="34">
        <v>0</v>
      </c>
      <c r="N39" s="34">
        <v>0</v>
      </c>
      <c r="O39" s="34">
        <v>58.196428571428569</v>
      </c>
      <c r="P39" s="38"/>
      <c r="Q39" s="33">
        <v>-665.12160000000006</v>
      </c>
      <c r="R39" s="33">
        <v>-117.37440000000001</v>
      </c>
      <c r="S39" s="33">
        <v>-195.62400000000002</v>
      </c>
      <c r="T39" s="33">
        <v>-10072.223214285712</v>
      </c>
      <c r="U39" s="33">
        <v>-1200.8451857142854</v>
      </c>
      <c r="V39" s="33">
        <f t="shared" si="0"/>
        <v>-0.16197142856890423</v>
      </c>
      <c r="W39" s="33">
        <v>11207.888399999996</v>
      </c>
      <c r="X39" s="39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33">
        <v>0</v>
      </c>
      <c r="AJ39" s="38"/>
      <c r="AK39" s="38"/>
      <c r="AL39" s="33">
        <v>0</v>
      </c>
      <c r="AM39" s="33">
        <v>0</v>
      </c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1">
        <v>0</v>
      </c>
      <c r="BB39" s="136"/>
      <c r="BC39" s="146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DE39" s="136"/>
      <c r="DF39" s="136"/>
      <c r="DG39" s="136"/>
      <c r="DH39" s="136"/>
    </row>
    <row r="40" spans="1:112" s="4" customFormat="1">
      <c r="A40" s="187">
        <v>43297</v>
      </c>
      <c r="B40" s="16" t="s">
        <v>44</v>
      </c>
      <c r="C40" s="16"/>
      <c r="D40" s="34">
        <v>12170</v>
      </c>
      <c r="E40" s="33">
        <v>0</v>
      </c>
      <c r="F40" s="33">
        <v>-2.3899999999994179</v>
      </c>
      <c r="G40" s="33"/>
      <c r="H40" s="34"/>
      <c r="I40" s="36">
        <v>46.956215</v>
      </c>
      <c r="J40" s="36">
        <v>10.920050000000002</v>
      </c>
      <c r="K40" s="36">
        <v>2126.1337349999999</v>
      </c>
      <c r="L40" s="34">
        <v>0</v>
      </c>
      <c r="M40" s="34">
        <v>0</v>
      </c>
      <c r="N40" s="34">
        <v>0</v>
      </c>
      <c r="O40" s="34">
        <v>28.696428571428569</v>
      </c>
      <c r="P40" s="38"/>
      <c r="Q40" s="33">
        <v>-742.59399999999994</v>
      </c>
      <c r="R40" s="33">
        <v>-131.04599999999999</v>
      </c>
      <c r="S40" s="33">
        <v>-218.41</v>
      </c>
      <c r="T40" s="33">
        <v>-11867.598214285714</v>
      </c>
      <c r="U40" s="33">
        <v>-1420.2549857142856</v>
      </c>
      <c r="V40" s="33">
        <f t="shared" si="0"/>
        <v>0.41322857143154579</v>
      </c>
      <c r="W40" s="33">
        <v>13255.7132</v>
      </c>
      <c r="X40" s="39"/>
      <c r="Y40" s="40"/>
      <c r="Z40" s="40">
        <v>385</v>
      </c>
      <c r="AA40" s="40"/>
      <c r="AB40" s="40"/>
      <c r="AC40" s="40"/>
      <c r="AD40" s="40"/>
      <c r="AE40" s="40"/>
      <c r="AF40" s="40"/>
      <c r="AG40" s="40"/>
      <c r="AH40" s="40"/>
      <c r="AI40" s="33">
        <v>385</v>
      </c>
      <c r="AJ40" s="38">
        <v>760</v>
      </c>
      <c r="AK40" s="38"/>
      <c r="AL40" s="33">
        <v>0</v>
      </c>
      <c r="AM40" s="33">
        <v>0</v>
      </c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41">
        <v>1145</v>
      </c>
      <c r="BB40" s="136"/>
      <c r="BC40" s="146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DE40" s="136"/>
      <c r="DF40" s="136"/>
      <c r="DG40" s="136"/>
      <c r="DH40" s="136"/>
    </row>
    <row r="41" spans="1:112" s="4" customFormat="1">
      <c r="A41" s="187">
        <v>43298</v>
      </c>
      <c r="B41" s="16" t="s">
        <v>43</v>
      </c>
      <c r="C41" s="16"/>
      <c r="D41" s="34">
        <v>17281.25</v>
      </c>
      <c r="E41" s="33"/>
      <c r="F41" s="33">
        <v>-4.0000000000873115E-2</v>
      </c>
      <c r="G41" s="33"/>
      <c r="H41" s="34"/>
      <c r="I41" s="36">
        <v>69.205060000000003</v>
      </c>
      <c r="J41" s="36">
        <v>16.094200000000001</v>
      </c>
      <c r="K41" s="36">
        <v>3133.5407399999999</v>
      </c>
      <c r="L41" s="34">
        <v>0</v>
      </c>
      <c r="M41" s="34">
        <v>0</v>
      </c>
      <c r="N41" s="34">
        <v>0</v>
      </c>
      <c r="O41" s="34">
        <v>195.57142857142856</v>
      </c>
      <c r="P41" s="38"/>
      <c r="Q41" s="33">
        <v>-802.07359999999994</v>
      </c>
      <c r="R41" s="33">
        <v>-141.54239999999999</v>
      </c>
      <c r="S41" s="33">
        <v>-235.904</v>
      </c>
      <c r="T41" s="33">
        <v>-17446.044642857141</v>
      </c>
      <c r="U41" s="33">
        <v>-2067.2405571428567</v>
      </c>
      <c r="V41" s="33">
        <f t="shared" si="0"/>
        <v>2.8162285714320205</v>
      </c>
      <c r="W41" s="33">
        <v>19294.245199999998</v>
      </c>
      <c r="X41" s="39"/>
      <c r="Y41" s="40">
        <v>0</v>
      </c>
      <c r="Z41" s="40"/>
      <c r="AA41" s="40"/>
      <c r="AB41" s="40"/>
      <c r="AC41" s="40"/>
      <c r="AD41" s="40"/>
      <c r="AE41" s="40"/>
      <c r="AF41" s="40"/>
      <c r="AG41" s="40"/>
      <c r="AH41" s="40"/>
      <c r="AI41" s="33">
        <v>0</v>
      </c>
      <c r="AJ41" s="38"/>
      <c r="AK41" s="38"/>
      <c r="AL41" s="33">
        <v>0</v>
      </c>
      <c r="AM41" s="33">
        <v>0</v>
      </c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41">
        <v>0</v>
      </c>
      <c r="BB41" s="136"/>
      <c r="BC41" s="146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DE41" s="136"/>
      <c r="DF41" s="136"/>
      <c r="DG41" s="136"/>
      <c r="DH41" s="136"/>
    </row>
    <row r="42" spans="1:112" s="4" customFormat="1">
      <c r="A42" s="187">
        <v>43298</v>
      </c>
      <c r="B42" s="16" t="s">
        <v>44</v>
      </c>
      <c r="C42" s="16"/>
      <c r="D42" s="34">
        <v>8500</v>
      </c>
      <c r="E42" s="33"/>
      <c r="F42" s="33">
        <v>-1.3500000000003638</v>
      </c>
      <c r="G42" s="33"/>
      <c r="H42" s="34"/>
      <c r="I42" s="36">
        <v>5.737919999999999</v>
      </c>
      <c r="J42" s="36">
        <v>1.3344</v>
      </c>
      <c r="K42" s="36">
        <v>259.80768</v>
      </c>
      <c r="L42" s="34">
        <v>0</v>
      </c>
      <c r="M42" s="34">
        <v>0</v>
      </c>
      <c r="N42" s="34">
        <v>0</v>
      </c>
      <c r="O42" s="34">
        <v>62.982142857142854</v>
      </c>
      <c r="P42" s="38"/>
      <c r="Q42" s="33">
        <v>-417.10519999999997</v>
      </c>
      <c r="R42" s="33">
        <v>-73.606799999999993</v>
      </c>
      <c r="S42" s="33">
        <v>-122.678</v>
      </c>
      <c r="T42" s="33">
        <v>-7341.6785714285706</v>
      </c>
      <c r="U42" s="33">
        <v>-872.53662857142842</v>
      </c>
      <c r="V42" s="33">
        <f t="shared" si="0"/>
        <v>0.90694285714346279</v>
      </c>
      <c r="W42" s="33">
        <v>8143.6751999999988</v>
      </c>
      <c r="X42" s="39">
        <v>185</v>
      </c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33">
        <v>185</v>
      </c>
      <c r="AJ42" s="38"/>
      <c r="AK42" s="38"/>
      <c r="AL42" s="33"/>
      <c r="AM42" s="33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41">
        <v>185</v>
      </c>
      <c r="BB42" s="136"/>
      <c r="BC42" s="146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DE42" s="136"/>
      <c r="DF42" s="136"/>
      <c r="DG42" s="136"/>
      <c r="DH42" s="136"/>
    </row>
    <row r="43" spans="1:112" s="4" customFormat="1">
      <c r="A43" s="187">
        <v>43299</v>
      </c>
      <c r="B43" s="16" t="s">
        <v>43</v>
      </c>
      <c r="C43" s="16"/>
      <c r="D43" s="34">
        <v>4960</v>
      </c>
      <c r="E43" s="33"/>
      <c r="F43" s="33">
        <v>-0.18000000000029104</v>
      </c>
      <c r="G43" s="33"/>
      <c r="H43" s="34"/>
      <c r="I43" s="36">
        <v>142.67829999999998</v>
      </c>
      <c r="J43" s="36">
        <v>33.180999999999997</v>
      </c>
      <c r="K43" s="36">
        <v>6460.3407000000007</v>
      </c>
      <c r="L43" s="34">
        <v>33.705357142857139</v>
      </c>
      <c r="M43" s="34">
        <v>0</v>
      </c>
      <c r="N43" s="34">
        <v>0</v>
      </c>
      <c r="O43" s="34">
        <v>0</v>
      </c>
      <c r="P43" s="38"/>
      <c r="Q43" s="33">
        <v>-563.51599999999996</v>
      </c>
      <c r="R43" s="33">
        <v>-99.444000000000003</v>
      </c>
      <c r="S43" s="33">
        <v>-165.74</v>
      </c>
      <c r="T43" s="33">
        <v>-9647.3839285714275</v>
      </c>
      <c r="U43" s="33">
        <v>-1153.1560714285713</v>
      </c>
      <c r="V43" s="33">
        <f t="shared" si="0"/>
        <v>0.4853571428595842</v>
      </c>
      <c r="W43" s="33">
        <v>10762.789999999999</v>
      </c>
      <c r="X43" s="39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33">
        <v>0</v>
      </c>
      <c r="AJ43" s="38"/>
      <c r="AK43" s="38"/>
      <c r="AL43" s="33">
        <v>0</v>
      </c>
      <c r="AM43" s="33">
        <v>0</v>
      </c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41">
        <v>0</v>
      </c>
      <c r="BB43" s="136"/>
      <c r="BC43" s="146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DE43" s="136"/>
      <c r="DF43" s="136"/>
      <c r="DG43" s="136"/>
      <c r="DH43" s="136"/>
    </row>
    <row r="44" spans="1:112" s="4" customFormat="1">
      <c r="A44" s="187">
        <v>43299</v>
      </c>
      <c r="B44" s="16" t="s">
        <v>44</v>
      </c>
      <c r="C44" s="16"/>
      <c r="D44" s="34">
        <v>14043</v>
      </c>
      <c r="E44" s="33"/>
      <c r="F44" s="33">
        <v>0</v>
      </c>
      <c r="G44" s="33"/>
      <c r="H44" s="34"/>
      <c r="I44" s="36">
        <v>32.670324999999998</v>
      </c>
      <c r="J44" s="36">
        <v>7.5977499999999996</v>
      </c>
      <c r="K44" s="36">
        <v>1479.281925</v>
      </c>
      <c r="L44" s="34">
        <v>14.955357142857141</v>
      </c>
      <c r="M44" s="34">
        <v>0</v>
      </c>
      <c r="N44" s="34">
        <v>0</v>
      </c>
      <c r="O44" s="34">
        <v>76.9375</v>
      </c>
      <c r="P44" s="38"/>
      <c r="Q44" s="33">
        <v>-814.38840000000016</v>
      </c>
      <c r="R44" s="33">
        <v>-143.71560000000002</v>
      </c>
      <c r="S44" s="33">
        <v>-239.52600000000004</v>
      </c>
      <c r="T44" s="33">
        <v>-12918.133928571429</v>
      </c>
      <c r="U44" s="33">
        <v>-1537.8256714285715</v>
      </c>
      <c r="V44" s="33">
        <f t="shared" si="0"/>
        <v>0.85325714285613685</v>
      </c>
      <c r="W44" s="33">
        <v>14353.0396</v>
      </c>
      <c r="X44" s="39"/>
      <c r="Y44" s="40">
        <v>200</v>
      </c>
      <c r="Z44" s="40"/>
      <c r="AA44" s="40"/>
      <c r="AB44" s="40"/>
      <c r="AC44" s="40"/>
      <c r="AD44" s="40"/>
      <c r="AE44" s="40"/>
      <c r="AF44" s="40"/>
      <c r="AG44" s="40"/>
      <c r="AH44" s="40"/>
      <c r="AI44" s="33">
        <v>200</v>
      </c>
      <c r="AJ44" s="38">
        <v>550</v>
      </c>
      <c r="AK44" s="38"/>
      <c r="AL44" s="33"/>
      <c r="AM44" s="33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41">
        <v>750</v>
      </c>
      <c r="BB44" s="136"/>
      <c r="BC44" s="146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DE44" s="136"/>
      <c r="DF44" s="136"/>
      <c r="DG44" s="136"/>
      <c r="DH44" s="136"/>
    </row>
    <row r="45" spans="1:112" s="4" customFormat="1">
      <c r="A45" s="187">
        <v>43300</v>
      </c>
      <c r="B45" s="16" t="s">
        <v>43</v>
      </c>
      <c r="C45" s="16"/>
      <c r="D45" s="34">
        <v>7607</v>
      </c>
      <c r="E45" s="33">
        <v>0</v>
      </c>
      <c r="F45" s="33">
        <v>-0.88000000000010914</v>
      </c>
      <c r="G45" s="33"/>
      <c r="H45" s="34"/>
      <c r="I45" s="36">
        <v>23.185385</v>
      </c>
      <c r="J45" s="36">
        <v>5.3919500000000005</v>
      </c>
      <c r="K45" s="36">
        <v>1049.8126650000002</v>
      </c>
      <c r="L45" s="34">
        <v>50.223214285714278</v>
      </c>
      <c r="M45" s="34">
        <v>0</v>
      </c>
      <c r="N45" s="34">
        <v>0</v>
      </c>
      <c r="O45" s="34">
        <v>0</v>
      </c>
      <c r="P45" s="38"/>
      <c r="Q45" s="33">
        <v>-464.27679999999998</v>
      </c>
      <c r="R45" s="33">
        <v>-81.93119999999999</v>
      </c>
      <c r="S45" s="33">
        <v>-136.55199999999999</v>
      </c>
      <c r="T45" s="33">
        <v>-7194.6428571428569</v>
      </c>
      <c r="U45" s="33">
        <v>-856.60714285714278</v>
      </c>
      <c r="V45" s="33">
        <f t="shared" si="0"/>
        <v>0.72321428571501656</v>
      </c>
      <c r="W45" s="33">
        <v>7995</v>
      </c>
      <c r="X45" s="39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33">
        <v>0</v>
      </c>
      <c r="AJ45" s="38"/>
      <c r="AK45" s="38"/>
      <c r="AL45" s="33">
        <v>0</v>
      </c>
      <c r="AM45" s="33">
        <v>0</v>
      </c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41">
        <v>0</v>
      </c>
      <c r="BB45" s="136"/>
      <c r="BC45" s="146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DE45" s="136"/>
      <c r="DF45" s="136"/>
      <c r="DG45" s="136"/>
      <c r="DH45" s="136"/>
    </row>
    <row r="46" spans="1:112" s="4" customFormat="1">
      <c r="A46" s="187">
        <v>43300</v>
      </c>
      <c r="B46" s="16" t="s">
        <v>44</v>
      </c>
      <c r="C46" s="16"/>
      <c r="D46" s="34">
        <v>6665</v>
      </c>
      <c r="E46" s="33">
        <v>0</v>
      </c>
      <c r="F46" s="33">
        <v>-6.2299999999995634</v>
      </c>
      <c r="G46" s="33"/>
      <c r="H46" s="34"/>
      <c r="I46" s="36">
        <v>88.753934999999998</v>
      </c>
      <c r="J46" s="36">
        <v>20.640450000000001</v>
      </c>
      <c r="K46" s="36">
        <v>4018.6956150000001</v>
      </c>
      <c r="L46" s="34">
        <v>71.205357142857139</v>
      </c>
      <c r="M46" s="34">
        <v>0</v>
      </c>
      <c r="N46" s="34">
        <v>0</v>
      </c>
      <c r="O46" s="34">
        <v>39.062499999999993</v>
      </c>
      <c r="P46" s="38"/>
      <c r="Q46" s="33">
        <v>-522.65480000000002</v>
      </c>
      <c r="R46" s="33">
        <v>-92.233199999999997</v>
      </c>
      <c r="S46" s="33">
        <v>-153.72200000000001</v>
      </c>
      <c r="T46" s="33">
        <v>-9055.1339285714275</v>
      </c>
      <c r="U46" s="33">
        <v>-1071.7960714285712</v>
      </c>
      <c r="V46" s="33">
        <f t="shared" si="0"/>
        <v>1.5878571428581836</v>
      </c>
      <c r="W46" s="33">
        <v>10003.429999999998</v>
      </c>
      <c r="X46" s="39">
        <v>998</v>
      </c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33">
        <v>998</v>
      </c>
      <c r="AJ46" s="38">
        <v>65</v>
      </c>
      <c r="AK46" s="38"/>
      <c r="AL46" s="33">
        <v>0</v>
      </c>
      <c r="AM46" s="33">
        <v>0</v>
      </c>
      <c r="AN46" s="39"/>
      <c r="AO46" s="39"/>
      <c r="AP46" s="39">
        <v>310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41">
        <v>1063</v>
      </c>
      <c r="BB46" s="136"/>
      <c r="BC46" s="146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DE46" s="136"/>
      <c r="DF46" s="136"/>
      <c r="DG46" s="136"/>
      <c r="DH46" s="136"/>
    </row>
    <row r="47" spans="1:112" s="4" customFormat="1">
      <c r="A47" s="187">
        <v>43301</v>
      </c>
      <c r="B47" s="16" t="s">
        <v>43</v>
      </c>
      <c r="C47" s="16"/>
      <c r="D47" s="34">
        <v>9960</v>
      </c>
      <c r="E47" s="33">
        <v>0</v>
      </c>
      <c r="F47" s="33">
        <v>0</v>
      </c>
      <c r="G47" s="33"/>
      <c r="H47" s="34"/>
      <c r="I47" s="36">
        <v>0</v>
      </c>
      <c r="J47" s="36">
        <v>0</v>
      </c>
      <c r="K47" s="36">
        <v>0</v>
      </c>
      <c r="L47" s="34">
        <v>50.892857142857139</v>
      </c>
      <c r="M47" s="34">
        <v>0</v>
      </c>
      <c r="N47" s="34">
        <v>0</v>
      </c>
      <c r="O47" s="34">
        <v>0</v>
      </c>
      <c r="P47" s="38"/>
      <c r="Q47" s="33">
        <v>-514.31119999999999</v>
      </c>
      <c r="R47" s="33">
        <v>-90.760800000000003</v>
      </c>
      <c r="S47" s="33">
        <v>-151.268</v>
      </c>
      <c r="T47" s="33">
        <v>-8266.0714285714275</v>
      </c>
      <c r="U47" s="33">
        <v>-985.0885714285713</v>
      </c>
      <c r="V47" s="33">
        <f t="shared" si="0"/>
        <v>3.3928571428579062</v>
      </c>
      <c r="W47" s="33">
        <v>9194.159999999998</v>
      </c>
      <c r="X47" s="39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33">
        <v>0</v>
      </c>
      <c r="AJ47" s="38"/>
      <c r="AK47" s="38"/>
      <c r="AL47" s="33">
        <v>0</v>
      </c>
      <c r="AM47" s="33">
        <v>0</v>
      </c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41">
        <v>0</v>
      </c>
      <c r="BB47" s="136"/>
      <c r="BC47" s="146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DE47" s="136"/>
      <c r="DF47" s="136"/>
      <c r="DG47" s="136"/>
      <c r="DH47" s="136"/>
    </row>
    <row r="48" spans="1:112" s="4" customFormat="1">
      <c r="A48" s="187">
        <v>43301</v>
      </c>
      <c r="B48" s="16" t="s">
        <v>44</v>
      </c>
      <c r="C48" s="16"/>
      <c r="D48" s="34">
        <v>15031</v>
      </c>
      <c r="E48" s="33">
        <v>0.12999999999919964</v>
      </c>
      <c r="F48" s="33">
        <v>0</v>
      </c>
      <c r="G48" s="33"/>
      <c r="H48" s="34"/>
      <c r="I48" s="36">
        <v>162.63395499999999</v>
      </c>
      <c r="J48" s="36">
        <v>37.821849999999998</v>
      </c>
      <c r="K48" s="36">
        <v>7363.9141949999994</v>
      </c>
      <c r="L48" s="34">
        <v>54.464285714285708</v>
      </c>
      <c r="M48" s="34">
        <v>0</v>
      </c>
      <c r="N48" s="34">
        <v>0</v>
      </c>
      <c r="O48" s="34">
        <v>47.035714285714278</v>
      </c>
      <c r="P48" s="38"/>
      <c r="Q48" s="33">
        <v>-1176.9372000000001</v>
      </c>
      <c r="R48" s="33">
        <v>-207.69480000000001</v>
      </c>
      <c r="S48" s="33">
        <v>-346.15800000000002</v>
      </c>
      <c r="T48" s="33">
        <v>-18730.705357142855</v>
      </c>
      <c r="U48" s="33">
        <v>-2234.0430428571426</v>
      </c>
      <c r="V48" s="33">
        <f t="shared" si="0"/>
        <v>1.4616000000014537</v>
      </c>
      <c r="W48" s="33">
        <v>20851.068399999996</v>
      </c>
      <c r="X48" s="39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33">
        <v>0</v>
      </c>
      <c r="AJ48" s="38"/>
      <c r="AK48" s="38"/>
      <c r="AL48" s="33">
        <v>0</v>
      </c>
      <c r="AM48" s="33">
        <v>0</v>
      </c>
      <c r="AN48" s="39"/>
      <c r="AO48" s="39"/>
      <c r="AP48" s="39"/>
      <c r="AQ48" s="39"/>
      <c r="AR48" s="39"/>
      <c r="AS48" s="39"/>
      <c r="AT48" s="39"/>
      <c r="AU48" s="39"/>
      <c r="AV48" s="39"/>
      <c r="AW48" s="173"/>
      <c r="AX48" s="39"/>
      <c r="AY48" s="39"/>
      <c r="AZ48" s="39"/>
      <c r="BA48" s="41">
        <v>0</v>
      </c>
      <c r="BB48" s="136"/>
      <c r="BC48" s="146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DE48" s="136"/>
      <c r="DF48" s="136"/>
      <c r="DG48" s="136"/>
      <c r="DH48" s="136"/>
    </row>
    <row r="49" spans="1:112" s="4" customFormat="1">
      <c r="A49" s="187">
        <v>43302</v>
      </c>
      <c r="B49" s="16" t="s">
        <v>43</v>
      </c>
      <c r="C49" s="16"/>
      <c r="D49" s="34"/>
      <c r="E49" s="33">
        <v>0</v>
      </c>
      <c r="F49" s="33">
        <v>0</v>
      </c>
      <c r="G49" s="33"/>
      <c r="H49" s="34"/>
      <c r="I49" s="36">
        <v>0</v>
      </c>
      <c r="J49" s="36">
        <v>0</v>
      </c>
      <c r="K49" s="36">
        <v>0</v>
      </c>
      <c r="L49" s="34">
        <v>0</v>
      </c>
      <c r="M49" s="34">
        <v>0</v>
      </c>
      <c r="N49" s="34">
        <v>0</v>
      </c>
      <c r="O49" s="34">
        <v>0</v>
      </c>
      <c r="P49" s="38"/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f t="shared" si="0"/>
        <v>0</v>
      </c>
      <c r="W49" s="33">
        <v>0</v>
      </c>
      <c r="X49" s="39">
        <v>0</v>
      </c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33">
        <v>0</v>
      </c>
      <c r="AJ49" s="38"/>
      <c r="AK49" s="38"/>
      <c r="AL49" s="33">
        <v>0</v>
      </c>
      <c r="AM49" s="33">
        <v>0</v>
      </c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41">
        <v>0</v>
      </c>
      <c r="BB49" s="136"/>
      <c r="BC49" s="146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DE49" s="136"/>
      <c r="DF49" s="136"/>
      <c r="DG49" s="136"/>
      <c r="DH49" s="136"/>
    </row>
    <row r="50" spans="1:112" s="4" customFormat="1">
      <c r="A50" s="187">
        <v>43302</v>
      </c>
      <c r="B50" s="16" t="s">
        <v>44</v>
      </c>
      <c r="C50" s="16"/>
      <c r="D50" s="34">
        <v>6980</v>
      </c>
      <c r="E50" s="33">
        <v>0</v>
      </c>
      <c r="F50" s="33">
        <v>-1.4499999999998181</v>
      </c>
      <c r="G50" s="33"/>
      <c r="H50" s="34"/>
      <c r="I50" s="36">
        <v>29.696014999999999</v>
      </c>
      <c r="J50" s="36">
        <v>6.9060500000000005</v>
      </c>
      <c r="K50" s="36">
        <v>1344.607935</v>
      </c>
      <c r="L50" s="34">
        <v>0</v>
      </c>
      <c r="M50" s="34">
        <v>0</v>
      </c>
      <c r="N50" s="34">
        <v>30.357142857142854</v>
      </c>
      <c r="O50" s="34">
        <v>0</v>
      </c>
      <c r="P50" s="38"/>
      <c r="Q50" s="33">
        <v>-409.8768</v>
      </c>
      <c r="R50" s="33">
        <v>-72.331199999999995</v>
      </c>
      <c r="S50" s="33">
        <v>-120.55200000000001</v>
      </c>
      <c r="T50" s="33">
        <v>-6956.2499999999991</v>
      </c>
      <c r="U50" s="33">
        <v>-830.66999999999985</v>
      </c>
      <c r="V50" s="33">
        <f t="shared" si="0"/>
        <v>0.4371428571450906</v>
      </c>
      <c r="W50" s="33">
        <v>7752.9199999999992</v>
      </c>
      <c r="X50" s="39"/>
      <c r="Y50" s="40"/>
      <c r="Z50" s="40">
        <v>585</v>
      </c>
      <c r="AA50" s="40"/>
      <c r="AB50" s="40"/>
      <c r="AC50" s="40"/>
      <c r="AD50" s="40"/>
      <c r="AE50" s="40"/>
      <c r="AF50" s="40"/>
      <c r="AG50" s="40"/>
      <c r="AH50" s="40"/>
      <c r="AI50" s="33">
        <v>585</v>
      </c>
      <c r="AJ50" s="38"/>
      <c r="AK50" s="38">
        <v>0</v>
      </c>
      <c r="AL50" s="33"/>
      <c r="AM50" s="33"/>
      <c r="AN50" s="39"/>
      <c r="AO50" s="39"/>
      <c r="AP50" s="39">
        <v>185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41">
        <v>585</v>
      </c>
      <c r="BB50" s="136"/>
      <c r="BC50" s="146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DE50" s="136"/>
      <c r="DF50" s="136"/>
      <c r="DG50" s="136"/>
      <c r="DH50" s="136"/>
    </row>
    <row r="51" spans="1:112" s="4" customFormat="1">
      <c r="A51" s="187">
        <v>43303</v>
      </c>
      <c r="B51" s="16" t="s">
        <v>43</v>
      </c>
      <c r="C51" s="16"/>
      <c r="D51" s="34"/>
      <c r="E51" s="33">
        <v>0</v>
      </c>
      <c r="F51" s="33">
        <v>0</v>
      </c>
      <c r="G51" s="33"/>
      <c r="H51" s="34"/>
      <c r="I51" s="36">
        <v>0</v>
      </c>
      <c r="J51" s="36">
        <v>0</v>
      </c>
      <c r="K51" s="36">
        <v>0</v>
      </c>
      <c r="L51" s="34">
        <v>0</v>
      </c>
      <c r="M51" s="34">
        <v>0</v>
      </c>
      <c r="N51" s="34">
        <v>0</v>
      </c>
      <c r="O51" s="34">
        <v>0</v>
      </c>
      <c r="P51" s="38"/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f t="shared" si="0"/>
        <v>0</v>
      </c>
      <c r="W51" s="33">
        <v>0</v>
      </c>
      <c r="X51" s="39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33">
        <v>0</v>
      </c>
      <c r="AJ51" s="38"/>
      <c r="AK51" s="38"/>
      <c r="AL51" s="33">
        <v>0</v>
      </c>
      <c r="AM51" s="33">
        <v>0</v>
      </c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41">
        <v>0</v>
      </c>
      <c r="BB51" s="136"/>
      <c r="BC51" s="146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DE51" s="136"/>
      <c r="DF51" s="136"/>
      <c r="DG51" s="136"/>
      <c r="DH51" s="136"/>
    </row>
    <row r="52" spans="1:112" s="4" customFormat="1">
      <c r="A52" s="187">
        <v>43303</v>
      </c>
      <c r="B52" s="16" t="s">
        <v>44</v>
      </c>
      <c r="C52" s="16"/>
      <c r="D52" s="34"/>
      <c r="E52" s="33">
        <v>0</v>
      </c>
      <c r="F52" s="33">
        <v>0</v>
      </c>
      <c r="G52" s="33"/>
      <c r="H52" s="34"/>
      <c r="I52" s="36">
        <v>0</v>
      </c>
      <c r="J52" s="36">
        <v>0</v>
      </c>
      <c r="K52" s="36">
        <v>0</v>
      </c>
      <c r="L52" s="34">
        <v>0</v>
      </c>
      <c r="M52" s="34">
        <v>0</v>
      </c>
      <c r="N52" s="34">
        <v>0</v>
      </c>
      <c r="O52" s="34">
        <v>0</v>
      </c>
      <c r="P52" s="38"/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f t="shared" si="0"/>
        <v>0</v>
      </c>
      <c r="W52" s="33">
        <v>0</v>
      </c>
      <c r="X52" s="39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33">
        <v>0</v>
      </c>
      <c r="AJ52" s="38"/>
      <c r="AK52" s="38"/>
      <c r="AL52" s="33">
        <v>0</v>
      </c>
      <c r="AM52" s="33">
        <v>0</v>
      </c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41">
        <v>0</v>
      </c>
      <c r="BB52" s="136"/>
      <c r="BC52" s="146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DE52" s="136"/>
      <c r="DF52" s="136"/>
      <c r="DG52" s="136"/>
      <c r="DH52" s="136"/>
    </row>
    <row r="53" spans="1:112" s="4" customFormat="1">
      <c r="A53" s="187">
        <v>43304</v>
      </c>
      <c r="B53" s="16" t="s">
        <v>43</v>
      </c>
      <c r="C53" s="16"/>
      <c r="D53" s="34">
        <v>8000</v>
      </c>
      <c r="E53" s="33">
        <v>0</v>
      </c>
      <c r="F53" s="33">
        <v>-0.8500000000003638</v>
      </c>
      <c r="G53" s="33"/>
      <c r="H53" s="34"/>
      <c r="I53" s="36">
        <v>145.26324499999998</v>
      </c>
      <c r="J53" s="36">
        <v>33.782150000000001</v>
      </c>
      <c r="K53" s="36">
        <v>6577.3846050000002</v>
      </c>
      <c r="L53" s="34">
        <v>2.6785714285714284</v>
      </c>
      <c r="M53" s="34">
        <v>0</v>
      </c>
      <c r="N53" s="34">
        <v>0</v>
      </c>
      <c r="O53" s="34">
        <v>185.74107142857142</v>
      </c>
      <c r="P53" s="38"/>
      <c r="Q53" s="33">
        <v>-742.17920000000004</v>
      </c>
      <c r="R53" s="33">
        <v>-130.97280000000001</v>
      </c>
      <c r="S53" s="33">
        <v>-218.28800000000001</v>
      </c>
      <c r="T53" s="33">
        <v>-12388.544642857141</v>
      </c>
      <c r="U53" s="33">
        <v>-1461.3017571428568</v>
      </c>
      <c r="V53" s="33">
        <f t="shared" si="0"/>
        <v>2.7132428571426317</v>
      </c>
      <c r="W53" s="33">
        <v>13638.816399999998</v>
      </c>
      <c r="X53" s="39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33">
        <v>0</v>
      </c>
      <c r="AJ53" s="38"/>
      <c r="AK53" s="38"/>
      <c r="AL53" s="33">
        <v>0</v>
      </c>
      <c r="AM53" s="33">
        <v>0</v>
      </c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41">
        <v>0</v>
      </c>
      <c r="BB53" s="136"/>
      <c r="BC53" s="146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DE53" s="136"/>
      <c r="DF53" s="136"/>
      <c r="DG53" s="136"/>
      <c r="DH53" s="136"/>
    </row>
    <row r="54" spans="1:112" s="4" customFormat="1">
      <c r="A54" s="187">
        <v>43304</v>
      </c>
      <c r="B54" s="16" t="s">
        <v>44</v>
      </c>
      <c r="C54" s="16"/>
      <c r="D54" s="34">
        <v>10810</v>
      </c>
      <c r="E54" s="33">
        <v>0</v>
      </c>
      <c r="F54" s="33">
        <v>-0.18000000000029104</v>
      </c>
      <c r="G54" s="33"/>
      <c r="H54" s="34"/>
      <c r="I54" s="36">
        <v>18.618569999999998</v>
      </c>
      <c r="J54" s="36">
        <v>4.3299000000000003</v>
      </c>
      <c r="K54" s="36">
        <v>843.03153000000009</v>
      </c>
      <c r="L54" s="34">
        <v>52.008928571428569</v>
      </c>
      <c r="M54" s="34">
        <v>0</v>
      </c>
      <c r="N54" s="34">
        <v>0</v>
      </c>
      <c r="O54" s="34">
        <v>51.419642857142854</v>
      </c>
      <c r="P54" s="38"/>
      <c r="Q54" s="33">
        <v>-610.76920000000007</v>
      </c>
      <c r="R54" s="33">
        <v>-107.78280000000002</v>
      </c>
      <c r="S54" s="33">
        <v>-179.63800000000003</v>
      </c>
      <c r="T54" s="33">
        <v>-9726.2946428571413</v>
      </c>
      <c r="U54" s="33">
        <v>-1153.2545571428568</v>
      </c>
      <c r="V54" s="33">
        <f t="shared" si="0"/>
        <v>1.4893714285731221</v>
      </c>
      <c r="W54" s="33">
        <v>10763.709199999998</v>
      </c>
      <c r="X54" s="39"/>
      <c r="Y54" s="40"/>
      <c r="Z54" s="40">
        <v>240</v>
      </c>
      <c r="AA54" s="40"/>
      <c r="AB54" s="40"/>
      <c r="AC54" s="40"/>
      <c r="AD54" s="40"/>
      <c r="AE54" s="40"/>
      <c r="AF54" s="40"/>
      <c r="AG54" s="40"/>
      <c r="AH54" s="40"/>
      <c r="AI54" s="33">
        <v>240</v>
      </c>
      <c r="AJ54" s="38"/>
      <c r="AK54" s="38">
        <v>0</v>
      </c>
      <c r="AL54" s="33"/>
      <c r="AM54" s="33"/>
      <c r="AN54" s="39"/>
      <c r="AO54" s="39"/>
      <c r="AP54" s="39">
        <v>0</v>
      </c>
      <c r="AQ54" s="39"/>
      <c r="AR54" s="39">
        <v>0</v>
      </c>
      <c r="AS54" s="39"/>
      <c r="AT54" s="39"/>
      <c r="AU54" s="39"/>
      <c r="AV54" s="39"/>
      <c r="AW54" s="39"/>
      <c r="AX54" s="39"/>
      <c r="AY54" s="39"/>
      <c r="AZ54" s="39"/>
      <c r="BA54" s="41">
        <v>240</v>
      </c>
      <c r="BB54" s="136"/>
      <c r="BC54" s="146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DE54" s="136"/>
      <c r="DF54" s="136"/>
      <c r="DG54" s="136"/>
      <c r="DH54" s="136"/>
    </row>
    <row r="55" spans="1:112" s="4" customFormat="1">
      <c r="A55" s="187">
        <v>43305</v>
      </c>
      <c r="B55" s="16" t="s">
        <v>43</v>
      </c>
      <c r="C55" s="16"/>
      <c r="D55" s="34">
        <v>13060</v>
      </c>
      <c r="E55" s="33">
        <v>0</v>
      </c>
      <c r="F55" s="33">
        <v>-2.1399999999994179</v>
      </c>
      <c r="G55" s="33"/>
      <c r="H55" s="34"/>
      <c r="I55" s="36">
        <v>115.63366499999999</v>
      </c>
      <c r="J55" s="36">
        <v>26.891550000000002</v>
      </c>
      <c r="K55" s="36">
        <v>5235.7847849999998</v>
      </c>
      <c r="L55" s="34">
        <v>52.1875</v>
      </c>
      <c r="M55" s="34">
        <v>0</v>
      </c>
      <c r="N55" s="34">
        <v>0</v>
      </c>
      <c r="O55" s="34">
        <v>31.089285714285712</v>
      </c>
      <c r="P55" s="38"/>
      <c r="Q55" s="33">
        <v>-874.74520000000007</v>
      </c>
      <c r="R55" s="33">
        <v>-154.36680000000001</v>
      </c>
      <c r="S55" s="33">
        <v>-257.27800000000002</v>
      </c>
      <c r="T55" s="33">
        <v>-15395.580357142855</v>
      </c>
      <c r="U55" s="33">
        <v>-1836.2772428571425</v>
      </c>
      <c r="V55" s="33">
        <f t="shared" si="0"/>
        <v>1.1991857142875233</v>
      </c>
      <c r="W55" s="33">
        <v>17138.587599999999</v>
      </c>
      <c r="X55" s="39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33">
        <v>0</v>
      </c>
      <c r="AJ55" s="38"/>
      <c r="AK55" s="38"/>
      <c r="AL55" s="33">
        <v>0</v>
      </c>
      <c r="AM55" s="33">
        <v>0</v>
      </c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41">
        <v>0</v>
      </c>
      <c r="BB55" s="136"/>
      <c r="BC55" s="146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DE55" s="136"/>
      <c r="DF55" s="136"/>
      <c r="DG55" s="136"/>
      <c r="DH55" s="136"/>
    </row>
    <row r="56" spans="1:112" s="4" customFormat="1">
      <c r="A56" s="187">
        <v>43305</v>
      </c>
      <c r="B56" s="16" t="s">
        <v>44</v>
      </c>
      <c r="C56" s="16"/>
      <c r="D56" s="34">
        <v>10585</v>
      </c>
      <c r="E56" s="33">
        <v>0</v>
      </c>
      <c r="F56" s="33">
        <v>-2.4599999999991269</v>
      </c>
      <c r="G56" s="33"/>
      <c r="H56" s="34"/>
      <c r="I56" s="36">
        <v>148.60993499999998</v>
      </c>
      <c r="J56" s="36">
        <v>34.560450000000003</v>
      </c>
      <c r="K56" s="36">
        <v>6728.9196149999998</v>
      </c>
      <c r="L56" s="34">
        <v>141.02678571428569</v>
      </c>
      <c r="M56" s="34">
        <v>0</v>
      </c>
      <c r="N56" s="34">
        <v>0</v>
      </c>
      <c r="O56" s="34">
        <v>231.05357142857139</v>
      </c>
      <c r="P56" s="38"/>
      <c r="Q56" s="33">
        <v>-831.38159999999993</v>
      </c>
      <c r="R56" s="33">
        <v>-146.71439999999998</v>
      </c>
      <c r="S56" s="33">
        <v>-244.524</v>
      </c>
      <c r="T56" s="33">
        <v>-14900.660714285714</v>
      </c>
      <c r="U56" s="33">
        <v>-1738.0716857142856</v>
      </c>
      <c r="V56" s="33">
        <f t="shared" si="0"/>
        <v>5.3579571428576855</v>
      </c>
      <c r="W56" s="33">
        <v>16222.002399999999</v>
      </c>
      <c r="X56" s="39">
        <v>265</v>
      </c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33">
        <v>265</v>
      </c>
      <c r="AJ56" s="38"/>
      <c r="AK56" s="38"/>
      <c r="AL56" s="33">
        <v>0</v>
      </c>
      <c r="AM56" s="33">
        <v>0</v>
      </c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41">
        <v>265</v>
      </c>
      <c r="BB56" s="136"/>
      <c r="BC56" s="146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DE56" s="136"/>
      <c r="DF56" s="136"/>
      <c r="DG56" s="136"/>
      <c r="DH56" s="136"/>
    </row>
    <row r="57" spans="1:112" s="4" customFormat="1">
      <c r="A57" s="187">
        <v>43306</v>
      </c>
      <c r="B57" s="16" t="s">
        <v>43</v>
      </c>
      <c r="C57" s="16"/>
      <c r="D57" s="34">
        <v>10005</v>
      </c>
      <c r="E57" s="33">
        <v>0</v>
      </c>
      <c r="F57" s="33">
        <v>-3.8799999999991996</v>
      </c>
      <c r="G57" s="33"/>
      <c r="H57" s="34"/>
      <c r="I57" s="36">
        <v>110.892055</v>
      </c>
      <c r="J57" s="36">
        <v>25.788850000000004</v>
      </c>
      <c r="K57" s="36">
        <v>5021.0890950000003</v>
      </c>
      <c r="L57" s="34">
        <v>63.839285714285708</v>
      </c>
      <c r="M57" s="34">
        <v>0</v>
      </c>
      <c r="N57" s="34">
        <v>0</v>
      </c>
      <c r="O57" s="34">
        <v>39.062499999999993</v>
      </c>
      <c r="P57" s="38"/>
      <c r="Q57" s="33">
        <v>-816.26520000000005</v>
      </c>
      <c r="R57" s="33">
        <v>-144.04680000000002</v>
      </c>
      <c r="S57" s="33">
        <v>-240.07800000000003</v>
      </c>
      <c r="T57" s="33">
        <v>-12565.848214285714</v>
      </c>
      <c r="U57" s="33">
        <v>-1494.0717857142856</v>
      </c>
      <c r="V57" s="33">
        <f t="shared" si="0"/>
        <v>1.4817857142904813</v>
      </c>
      <c r="W57" s="33">
        <v>13944.67</v>
      </c>
      <c r="X57" s="39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33">
        <v>0</v>
      </c>
      <c r="AJ57" s="38"/>
      <c r="AK57" s="38"/>
      <c r="AL57" s="33">
        <v>0</v>
      </c>
      <c r="AM57" s="33">
        <v>0</v>
      </c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41">
        <v>0</v>
      </c>
      <c r="BB57" s="136"/>
      <c r="BC57" s="146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DE57" s="136"/>
      <c r="DF57" s="136"/>
      <c r="DG57" s="136"/>
      <c r="DH57" s="136"/>
    </row>
    <row r="58" spans="1:112" s="4" customFormat="1">
      <c r="A58" s="187">
        <v>43306</v>
      </c>
      <c r="B58" s="16" t="s">
        <v>44</v>
      </c>
      <c r="C58" s="16"/>
      <c r="D58" s="34">
        <v>13268</v>
      </c>
      <c r="E58" s="33">
        <v>0</v>
      </c>
      <c r="F58" s="33">
        <v>-0.25</v>
      </c>
      <c r="G58" s="33"/>
      <c r="H58" s="34"/>
      <c r="I58" s="36">
        <v>51.249549999999992</v>
      </c>
      <c r="J58" s="36">
        <v>11.9185</v>
      </c>
      <c r="K58" s="36">
        <v>2320.5319499999996</v>
      </c>
      <c r="L58" s="34">
        <v>89.776785714285708</v>
      </c>
      <c r="M58" s="34">
        <v>0</v>
      </c>
      <c r="N58" s="34">
        <v>0</v>
      </c>
      <c r="O58" s="34">
        <v>0</v>
      </c>
      <c r="P58" s="38"/>
      <c r="Q58" s="33">
        <v>-782.65960000000007</v>
      </c>
      <c r="R58" s="33">
        <v>-138.1164</v>
      </c>
      <c r="S58" s="33">
        <v>-230.19400000000002</v>
      </c>
      <c r="T58" s="33">
        <v>-13036.607142857141</v>
      </c>
      <c r="U58" s="33">
        <v>-1552.3268571428571</v>
      </c>
      <c r="V58" s="33">
        <f t="shared" si="0"/>
        <v>1.32278571428742</v>
      </c>
      <c r="W58" s="33">
        <v>14488.383999999998</v>
      </c>
      <c r="X58" s="39"/>
      <c r="Y58" s="40">
        <v>180</v>
      </c>
      <c r="Z58" s="40">
        <v>180</v>
      </c>
      <c r="AA58" s="40"/>
      <c r="AB58" s="40"/>
      <c r="AC58" s="40"/>
      <c r="AD58" s="40"/>
      <c r="AE58" s="40"/>
      <c r="AF58" s="40"/>
      <c r="AG58" s="40"/>
      <c r="AH58" s="40"/>
      <c r="AI58" s="33">
        <v>360</v>
      </c>
      <c r="AJ58" s="38"/>
      <c r="AK58" s="38"/>
      <c r="AL58" s="33">
        <v>0</v>
      </c>
      <c r="AM58" s="33">
        <v>0</v>
      </c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41">
        <v>360</v>
      </c>
      <c r="BB58" s="136"/>
      <c r="BC58" s="146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DE58" s="136"/>
      <c r="DF58" s="136"/>
      <c r="DG58" s="136"/>
      <c r="DH58" s="136"/>
    </row>
    <row r="59" spans="1:112" s="4" customFormat="1">
      <c r="A59" s="187">
        <v>43307</v>
      </c>
      <c r="B59" s="32" t="s">
        <v>43</v>
      </c>
      <c r="C59" s="32"/>
      <c r="D59" s="34">
        <v>12304</v>
      </c>
      <c r="E59" s="33">
        <v>0</v>
      </c>
      <c r="F59" s="33">
        <v>-4.9999999999272404E-2</v>
      </c>
      <c r="G59" s="33"/>
      <c r="H59" s="34"/>
      <c r="I59" s="36">
        <v>72.848879999999994</v>
      </c>
      <c r="J59" s="36">
        <v>16.941600000000001</v>
      </c>
      <c r="K59" s="36">
        <v>3298.52952</v>
      </c>
      <c r="L59" s="34">
        <v>79.017857142857139</v>
      </c>
      <c r="M59" s="34">
        <v>0</v>
      </c>
      <c r="N59" s="34">
        <v>0</v>
      </c>
      <c r="O59" s="34">
        <v>245.86607142857142</v>
      </c>
      <c r="P59" s="38"/>
      <c r="Q59" s="33">
        <v>-861.12479999999994</v>
      </c>
      <c r="R59" s="33">
        <v>-151.9632</v>
      </c>
      <c r="S59" s="33">
        <v>-253.27199999999999</v>
      </c>
      <c r="T59" s="33">
        <v>-13205.160714285712</v>
      </c>
      <c r="U59" s="33">
        <v>-1540.9548857142852</v>
      </c>
      <c r="V59" s="33">
        <f t="shared" si="0"/>
        <v>4.6783285714302565</v>
      </c>
      <c r="W59" s="33">
        <v>14382.245599999997</v>
      </c>
      <c r="X59" s="39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33">
        <v>0</v>
      </c>
      <c r="AJ59" s="38"/>
      <c r="AK59" s="38"/>
      <c r="AL59" s="33">
        <v>0</v>
      </c>
      <c r="AM59" s="33">
        <v>0</v>
      </c>
      <c r="AN59" s="39"/>
      <c r="AO59" s="39">
        <v>0</v>
      </c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41">
        <v>0</v>
      </c>
      <c r="BB59" s="136"/>
      <c r="BC59" s="146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DE59" s="136"/>
      <c r="DF59" s="136"/>
      <c r="DG59" s="136"/>
      <c r="DH59" s="136"/>
    </row>
    <row r="60" spans="1:112" s="4" customFormat="1">
      <c r="A60" s="187">
        <v>43307</v>
      </c>
      <c r="B60" s="15" t="s">
        <v>44</v>
      </c>
      <c r="C60" s="15"/>
      <c r="D60" s="34">
        <v>15560</v>
      </c>
      <c r="E60" s="33">
        <v>0</v>
      </c>
      <c r="F60" s="33">
        <v>-4.3799999999991996</v>
      </c>
      <c r="G60" s="33"/>
      <c r="H60" s="34">
        <v>400</v>
      </c>
      <c r="I60" s="36">
        <v>187.83926499999995</v>
      </c>
      <c r="J60" s="36">
        <v>43.683549999999997</v>
      </c>
      <c r="K60" s="36">
        <v>8505.1871849999989</v>
      </c>
      <c r="L60" s="34">
        <v>97.901785714285708</v>
      </c>
      <c r="M60" s="34">
        <v>0</v>
      </c>
      <c r="N60" s="34">
        <v>0</v>
      </c>
      <c r="O60" s="34">
        <v>189.73214285714283</v>
      </c>
      <c r="P60" s="38">
        <v>14400</v>
      </c>
      <c r="Q60" s="33">
        <v>-2122.6608000000001</v>
      </c>
      <c r="R60" s="33">
        <v>-374.5872</v>
      </c>
      <c r="S60" s="33">
        <v>-624.31200000000001</v>
      </c>
      <c r="T60" s="33">
        <v>-32404.392857142859</v>
      </c>
      <c r="U60" s="33">
        <v>-3849.8691428571428</v>
      </c>
      <c r="V60" s="33">
        <f t="shared" si="0"/>
        <v>4.1419285714300713</v>
      </c>
      <c r="W60" s="33">
        <v>35932.112000000001</v>
      </c>
      <c r="X60" s="39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33">
        <v>0</v>
      </c>
      <c r="AJ60" s="38"/>
      <c r="AK60" s="38"/>
      <c r="AL60" s="33"/>
      <c r="AM60" s="33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41">
        <v>0</v>
      </c>
      <c r="BB60" s="136"/>
      <c r="BC60" s="146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DE60" s="136"/>
      <c r="DF60" s="136"/>
      <c r="DG60" s="136"/>
      <c r="DH60" s="136"/>
    </row>
    <row r="61" spans="1:112" s="4" customFormat="1">
      <c r="A61" s="187">
        <v>43308</v>
      </c>
      <c r="B61" s="15" t="s">
        <v>43</v>
      </c>
      <c r="C61" s="15"/>
      <c r="D61" s="34">
        <v>19332</v>
      </c>
      <c r="E61" s="33">
        <v>0</v>
      </c>
      <c r="F61" s="33">
        <v>-1.1100000000005821</v>
      </c>
      <c r="G61" s="33"/>
      <c r="H61" s="34"/>
      <c r="I61" s="36">
        <v>104.33648999999998</v>
      </c>
      <c r="J61" s="36">
        <v>24.264299999999999</v>
      </c>
      <c r="K61" s="36">
        <v>4724.2592100000002</v>
      </c>
      <c r="L61" s="34">
        <v>92.633928571428569</v>
      </c>
      <c r="M61" s="34">
        <v>0</v>
      </c>
      <c r="N61" s="34">
        <v>0</v>
      </c>
      <c r="O61" s="34">
        <v>31.491071428571427</v>
      </c>
      <c r="P61" s="38"/>
      <c r="Q61" s="33">
        <v>-1191.9924000000001</v>
      </c>
      <c r="R61" s="33">
        <v>-210.35159999999999</v>
      </c>
      <c r="S61" s="33">
        <v>-350.58600000000001</v>
      </c>
      <c r="T61" s="33">
        <v>-20151.642857142855</v>
      </c>
      <c r="U61" s="33">
        <v>-2401.5147428571427</v>
      </c>
      <c r="V61" s="33">
        <f t="shared" si="0"/>
        <v>1.7874000000019805</v>
      </c>
      <c r="W61" s="33">
        <v>22414.137599999998</v>
      </c>
      <c r="X61" s="39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33">
        <v>0</v>
      </c>
      <c r="AJ61" s="38"/>
      <c r="AK61" s="38"/>
      <c r="AL61" s="33">
        <v>0</v>
      </c>
      <c r="AM61" s="33">
        <v>0</v>
      </c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41">
        <v>0</v>
      </c>
      <c r="BB61" s="136"/>
      <c r="BC61" s="146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DE61" s="136"/>
      <c r="DF61" s="136"/>
      <c r="DG61" s="136"/>
      <c r="DH61" s="136"/>
    </row>
    <row r="62" spans="1:112" s="4" customFormat="1">
      <c r="A62" s="187">
        <v>43308</v>
      </c>
      <c r="B62" s="15" t="s">
        <v>44</v>
      </c>
      <c r="C62" s="15"/>
      <c r="D62" s="34">
        <v>17885</v>
      </c>
      <c r="E62" s="33">
        <v>0</v>
      </c>
      <c r="F62" s="33">
        <v>-0.40000000000145519</v>
      </c>
      <c r="G62" s="33"/>
      <c r="H62" s="34"/>
      <c r="I62" s="36">
        <v>122.126665</v>
      </c>
      <c r="J62" s="36">
        <v>28.401550000000004</v>
      </c>
      <c r="K62" s="36">
        <v>5529.781785000001</v>
      </c>
      <c r="L62" s="34">
        <v>169.01785714285714</v>
      </c>
      <c r="M62" s="34">
        <v>5.8035714285714279</v>
      </c>
      <c r="N62" s="34">
        <v>0</v>
      </c>
      <c r="O62" s="34">
        <v>99.383928571428569</v>
      </c>
      <c r="P62" s="38"/>
      <c r="Q62" s="33">
        <v>-1295.2640000000001</v>
      </c>
      <c r="R62" s="33">
        <v>-228.57600000000002</v>
      </c>
      <c r="S62" s="33">
        <v>-380.96000000000004</v>
      </c>
      <c r="T62" s="33">
        <v>-19613.589285714286</v>
      </c>
      <c r="U62" s="33">
        <v>-2316.777514285714</v>
      </c>
      <c r="V62" s="33">
        <f t="shared" si="0"/>
        <v>3.9485571428554067</v>
      </c>
      <c r="W62" s="33">
        <v>21623.256799999999</v>
      </c>
      <c r="X62" s="39">
        <v>130</v>
      </c>
      <c r="Y62" s="40"/>
      <c r="Z62" s="40"/>
      <c r="AA62" s="40">
        <v>380</v>
      </c>
      <c r="AB62" s="40"/>
      <c r="AC62" s="40"/>
      <c r="AD62" s="40"/>
      <c r="AE62" s="40"/>
      <c r="AF62" s="40"/>
      <c r="AG62" s="40"/>
      <c r="AH62" s="40"/>
      <c r="AI62" s="33">
        <v>510</v>
      </c>
      <c r="AJ62" s="38"/>
      <c r="AK62" s="38"/>
      <c r="AL62" s="33"/>
      <c r="AM62" s="33"/>
      <c r="AN62" s="39"/>
      <c r="AO62" s="39"/>
      <c r="AP62" s="39"/>
      <c r="AQ62" s="39"/>
      <c r="AR62" s="39">
        <v>0</v>
      </c>
      <c r="AS62" s="39"/>
      <c r="AT62" s="39"/>
      <c r="AU62" s="39"/>
      <c r="AV62" s="39"/>
      <c r="AW62" s="39"/>
      <c r="AX62" s="39"/>
      <c r="AY62" s="39"/>
      <c r="AZ62" s="39"/>
      <c r="BA62" s="41">
        <v>510</v>
      </c>
      <c r="BB62" s="136"/>
      <c r="BC62" s="146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DE62" s="136"/>
      <c r="DF62" s="136"/>
      <c r="DG62" s="136"/>
      <c r="DH62" s="136"/>
    </row>
    <row r="63" spans="1:112" s="4" customFormat="1">
      <c r="A63" s="187">
        <v>43309</v>
      </c>
      <c r="B63" s="16" t="s">
        <v>43</v>
      </c>
      <c r="C63" s="16"/>
      <c r="D63" s="34"/>
      <c r="E63" s="33">
        <v>0</v>
      </c>
      <c r="F63" s="33">
        <v>0</v>
      </c>
      <c r="G63" s="33"/>
      <c r="H63" s="34"/>
      <c r="I63" s="36">
        <v>0</v>
      </c>
      <c r="J63" s="36">
        <v>0</v>
      </c>
      <c r="K63" s="36">
        <v>0</v>
      </c>
      <c r="L63" s="34">
        <v>0</v>
      </c>
      <c r="M63" s="34">
        <v>0</v>
      </c>
      <c r="N63" s="34">
        <v>0</v>
      </c>
      <c r="O63" s="34">
        <v>0</v>
      </c>
      <c r="P63" s="38"/>
      <c r="Q63" s="33">
        <v>0</v>
      </c>
      <c r="R63" s="33">
        <v>0</v>
      </c>
      <c r="S63" s="33">
        <v>0</v>
      </c>
      <c r="T63" s="33">
        <v>0</v>
      </c>
      <c r="U63" s="33">
        <v>0</v>
      </c>
      <c r="V63" s="33">
        <f t="shared" si="0"/>
        <v>0</v>
      </c>
      <c r="W63" s="33">
        <v>0</v>
      </c>
      <c r="X63" s="39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33">
        <v>0</v>
      </c>
      <c r="AJ63" s="38"/>
      <c r="AK63" s="38"/>
      <c r="AL63" s="33">
        <v>0</v>
      </c>
      <c r="AM63" s="33">
        <v>0</v>
      </c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41">
        <v>0</v>
      </c>
      <c r="BB63" s="136"/>
      <c r="BC63" s="146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DE63" s="136"/>
      <c r="DF63" s="136"/>
      <c r="DG63" s="136"/>
      <c r="DH63" s="136"/>
    </row>
    <row r="64" spans="1:112" s="4" customFormat="1">
      <c r="A64" s="187">
        <v>43309</v>
      </c>
      <c r="B64" s="16" t="s">
        <v>44</v>
      </c>
      <c r="C64" s="16"/>
      <c r="D64" s="34">
        <v>3486</v>
      </c>
      <c r="E64" s="33">
        <v>0</v>
      </c>
      <c r="F64" s="33">
        <v>-0.28000000000020009</v>
      </c>
      <c r="G64" s="33"/>
      <c r="H64" s="34"/>
      <c r="I64" s="36">
        <v>54.33350999999999</v>
      </c>
      <c r="J64" s="36">
        <v>12.6357</v>
      </c>
      <c r="K64" s="36">
        <v>2460.1707900000001</v>
      </c>
      <c r="L64" s="34">
        <v>0</v>
      </c>
      <c r="M64" s="34">
        <v>0</v>
      </c>
      <c r="N64" s="34">
        <v>0</v>
      </c>
      <c r="O64" s="34">
        <v>0</v>
      </c>
      <c r="P64" s="38">
        <v>14400</v>
      </c>
      <c r="Q64" s="33">
        <v>-1137.2524000000001</v>
      </c>
      <c r="R64" s="33">
        <v>-200.69160000000002</v>
      </c>
      <c r="S64" s="33">
        <v>-334.48600000000005</v>
      </c>
      <c r="T64" s="33">
        <v>-16732.526785714283</v>
      </c>
      <c r="U64" s="33">
        <v>-2007.9032142857138</v>
      </c>
      <c r="V64" s="33">
        <f t="shared" si="0"/>
        <v>3.865352482534945E-12</v>
      </c>
      <c r="W64" s="33">
        <v>18740.429999999997</v>
      </c>
      <c r="X64" s="39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33">
        <v>0</v>
      </c>
      <c r="AJ64" s="38"/>
      <c r="AK64" s="38"/>
      <c r="AL64" s="33">
        <v>0</v>
      </c>
      <c r="AM64" s="33">
        <v>0</v>
      </c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41">
        <v>0</v>
      </c>
      <c r="BB64" s="136"/>
      <c r="BC64" s="146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DE64" s="136"/>
      <c r="DF64" s="136"/>
      <c r="DG64" s="136"/>
      <c r="DH64" s="136"/>
    </row>
    <row r="65" spans="1:112" s="4" customFormat="1">
      <c r="A65" s="187">
        <v>43310</v>
      </c>
      <c r="B65" s="16" t="s">
        <v>43</v>
      </c>
      <c r="C65" s="16"/>
      <c r="D65" s="34"/>
      <c r="E65" s="33">
        <v>0</v>
      </c>
      <c r="F65" s="33">
        <v>0</v>
      </c>
      <c r="G65" s="33"/>
      <c r="H65" s="34"/>
      <c r="I65" s="36">
        <v>0</v>
      </c>
      <c r="J65" s="36">
        <v>0</v>
      </c>
      <c r="K65" s="36">
        <v>0</v>
      </c>
      <c r="L65" s="34">
        <v>0</v>
      </c>
      <c r="M65" s="34">
        <v>0</v>
      </c>
      <c r="N65" s="34">
        <v>0</v>
      </c>
      <c r="O65" s="34">
        <v>0</v>
      </c>
      <c r="P65" s="38"/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f t="shared" si="0"/>
        <v>0</v>
      </c>
      <c r="W65" s="33">
        <v>0</v>
      </c>
      <c r="X65" s="39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33">
        <v>0</v>
      </c>
      <c r="AJ65" s="38"/>
      <c r="AK65" s="38"/>
      <c r="AL65" s="33">
        <v>0</v>
      </c>
      <c r="AM65" s="33">
        <v>0</v>
      </c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41">
        <v>0</v>
      </c>
      <c r="BB65" s="136"/>
      <c r="BC65" s="146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DE65" s="136"/>
      <c r="DF65" s="136"/>
      <c r="DG65" s="136"/>
      <c r="DH65" s="136"/>
    </row>
    <row r="66" spans="1:112" s="4" customFormat="1">
      <c r="A66" s="187">
        <v>43310</v>
      </c>
      <c r="B66" s="16" t="s">
        <v>44</v>
      </c>
      <c r="C66" s="16"/>
      <c r="D66" s="34"/>
      <c r="E66" s="33">
        <v>0</v>
      </c>
      <c r="F66" s="33">
        <v>0</v>
      </c>
      <c r="G66" s="33"/>
      <c r="H66" s="34"/>
      <c r="I66" s="36">
        <v>0</v>
      </c>
      <c r="J66" s="36">
        <v>0</v>
      </c>
      <c r="K66" s="36">
        <v>0</v>
      </c>
      <c r="L66" s="34">
        <v>0</v>
      </c>
      <c r="M66" s="34">
        <v>0</v>
      </c>
      <c r="N66" s="34">
        <v>0</v>
      </c>
      <c r="O66" s="34">
        <v>0</v>
      </c>
      <c r="P66" s="38"/>
      <c r="Q66" s="33">
        <v>0</v>
      </c>
      <c r="R66" s="33">
        <v>0</v>
      </c>
      <c r="S66" s="33">
        <v>0</v>
      </c>
      <c r="T66" s="33">
        <v>0</v>
      </c>
      <c r="U66" s="33">
        <v>0</v>
      </c>
      <c r="V66" s="33">
        <f t="shared" si="0"/>
        <v>0</v>
      </c>
      <c r="W66" s="33">
        <v>0</v>
      </c>
      <c r="X66" s="39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33">
        <v>0</v>
      </c>
      <c r="AJ66" s="170"/>
      <c r="AK66" s="38"/>
      <c r="AL66" s="33"/>
      <c r="AM66" s="33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41">
        <v>0</v>
      </c>
      <c r="BB66" s="136"/>
      <c r="BC66" s="146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DE66" s="136"/>
      <c r="DF66" s="136"/>
      <c r="DG66" s="136"/>
      <c r="DH66" s="136"/>
    </row>
    <row r="67" spans="1:112" s="4" customFormat="1">
      <c r="A67" s="187">
        <v>43311</v>
      </c>
      <c r="B67" s="16" t="s">
        <v>43</v>
      </c>
      <c r="C67" s="16"/>
      <c r="D67" s="34">
        <v>8634</v>
      </c>
      <c r="E67" s="33">
        <v>0</v>
      </c>
      <c r="F67" s="33">
        <v>-0.87000000000080036</v>
      </c>
      <c r="G67" s="33"/>
      <c r="H67" s="34"/>
      <c r="I67" s="36">
        <v>87.706669999999988</v>
      </c>
      <c r="J67" s="36">
        <v>20.396900000000002</v>
      </c>
      <c r="K67" s="36">
        <v>3971.2764299999999</v>
      </c>
      <c r="L67" s="34">
        <v>10.267857142857142</v>
      </c>
      <c r="M67" s="34">
        <v>0</v>
      </c>
      <c r="N67" s="34">
        <v>0</v>
      </c>
      <c r="O67" s="34">
        <v>60.589285714285708</v>
      </c>
      <c r="P67" s="38"/>
      <c r="Q67" s="33">
        <v>-589.98840000000007</v>
      </c>
      <c r="R67" s="33">
        <v>-104.1156</v>
      </c>
      <c r="S67" s="33">
        <v>-173.52600000000001</v>
      </c>
      <c r="T67" s="33">
        <v>-10646.6875</v>
      </c>
      <c r="U67" s="33">
        <v>-1268.0792999999999</v>
      </c>
      <c r="V67" s="33">
        <f t="shared" si="0"/>
        <v>0.97034285714244106</v>
      </c>
      <c r="W67" s="33">
        <v>11835.406799999999</v>
      </c>
      <c r="X67" s="39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33">
        <v>0</v>
      </c>
      <c r="AJ67" s="38"/>
      <c r="AK67" s="38"/>
      <c r="AL67" s="33">
        <v>0</v>
      </c>
      <c r="AM67" s="33">
        <v>0</v>
      </c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41">
        <v>0</v>
      </c>
      <c r="BB67" s="136"/>
      <c r="BC67" s="146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DE67" s="136"/>
      <c r="DF67" s="136"/>
      <c r="DG67" s="136"/>
      <c r="DH67" s="136"/>
    </row>
    <row r="68" spans="1:112" s="4" customFormat="1">
      <c r="A68" s="187">
        <v>43311</v>
      </c>
      <c r="B68" s="16" t="s">
        <v>44</v>
      </c>
      <c r="C68" s="16"/>
      <c r="D68" s="34">
        <v>4812</v>
      </c>
      <c r="E68" s="33">
        <v>0.43000000000029104</v>
      </c>
      <c r="F68" s="33">
        <v>0</v>
      </c>
      <c r="G68" s="33"/>
      <c r="H68" s="34"/>
      <c r="I68" s="36">
        <v>61.55342499999999</v>
      </c>
      <c r="J68" s="36">
        <v>14.31475</v>
      </c>
      <c r="K68" s="36">
        <v>2787.0818249999998</v>
      </c>
      <c r="L68" s="34">
        <v>9.5982142857142847</v>
      </c>
      <c r="M68" s="34">
        <v>0</v>
      </c>
      <c r="N68" s="34">
        <v>0</v>
      </c>
      <c r="O68" s="34">
        <v>0</v>
      </c>
      <c r="P68" s="170"/>
      <c r="Q68" s="33">
        <v>-353.6884</v>
      </c>
      <c r="R68" s="33">
        <v>-62.415600000000005</v>
      </c>
      <c r="S68" s="33">
        <v>-104.02600000000001</v>
      </c>
      <c r="T68" s="33">
        <v>-6398.2142857142853</v>
      </c>
      <c r="U68" s="33">
        <v>-766.49571428571426</v>
      </c>
      <c r="V68" s="33">
        <f t="shared" si="0"/>
        <v>0.13821428571418437</v>
      </c>
      <c r="W68" s="33">
        <v>7153.9599999999991</v>
      </c>
      <c r="X68" s="39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33">
        <v>0</v>
      </c>
      <c r="AJ68" s="38"/>
      <c r="AK68" s="38"/>
      <c r="AL68" s="33"/>
      <c r="AM68" s="33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41">
        <v>0</v>
      </c>
      <c r="BB68" s="136"/>
      <c r="BC68" s="146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DE68" s="136"/>
      <c r="DF68" s="136"/>
      <c r="DG68" s="136"/>
      <c r="DH68" s="136"/>
    </row>
    <row r="69" spans="1:112" s="4" customFormat="1" ht="15" customHeight="1">
      <c r="A69" s="187">
        <v>43312</v>
      </c>
      <c r="B69" s="16" t="s">
        <v>43</v>
      </c>
      <c r="C69" s="16"/>
      <c r="D69" s="34">
        <v>19715</v>
      </c>
      <c r="E69" s="33">
        <v>0</v>
      </c>
      <c r="F69" s="33">
        <v>0</v>
      </c>
      <c r="G69" s="33"/>
      <c r="H69" s="34"/>
      <c r="I69" s="36">
        <v>112.437045</v>
      </c>
      <c r="J69" s="36">
        <v>26.148150000000001</v>
      </c>
      <c r="K69" s="36">
        <v>5091.0448050000005</v>
      </c>
      <c r="L69" s="34">
        <v>94.196428571428569</v>
      </c>
      <c r="M69" s="34">
        <v>0</v>
      </c>
      <c r="N69" s="34">
        <v>0</v>
      </c>
      <c r="O69" s="34">
        <v>112.14285714285712</v>
      </c>
      <c r="P69" s="38"/>
      <c r="Q69" s="33">
        <v>-1367.5412000000001</v>
      </c>
      <c r="R69" s="33">
        <v>-241.33080000000001</v>
      </c>
      <c r="S69" s="33">
        <v>-402.21800000000002</v>
      </c>
      <c r="T69" s="33">
        <v>-20682.714285714283</v>
      </c>
      <c r="U69" s="33">
        <v>-2454.1937142857141</v>
      </c>
      <c r="V69" s="33">
        <f t="shared" si="0"/>
        <v>2.9712857142903886</v>
      </c>
      <c r="W69" s="33">
        <v>22905.807999999997</v>
      </c>
      <c r="X69" s="39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33">
        <v>0</v>
      </c>
      <c r="AJ69" s="38"/>
      <c r="AK69" s="38"/>
      <c r="AL69" s="33">
        <v>0</v>
      </c>
      <c r="AM69" s="33">
        <v>0</v>
      </c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159">
        <v>0</v>
      </c>
      <c r="BB69" s="136"/>
      <c r="BC69" s="146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DE69" s="136"/>
      <c r="DF69" s="136"/>
      <c r="DG69" s="136"/>
      <c r="DH69" s="136"/>
    </row>
    <row r="70" spans="1:112" s="4" customFormat="1" ht="15.75" customHeight="1">
      <c r="A70" s="187">
        <v>43312</v>
      </c>
      <c r="B70" s="16" t="s">
        <v>44</v>
      </c>
      <c r="C70" s="16"/>
      <c r="D70" s="34">
        <v>13735</v>
      </c>
      <c r="E70" s="33">
        <v>0</v>
      </c>
      <c r="F70" s="33">
        <v>-1.069999999999709</v>
      </c>
      <c r="G70" s="33"/>
      <c r="H70" s="34"/>
      <c r="I70" s="36">
        <v>119.97859999999999</v>
      </c>
      <c r="J70" s="36">
        <v>27.901999999999997</v>
      </c>
      <c r="K70" s="36">
        <v>5432.5193999999992</v>
      </c>
      <c r="L70" s="34">
        <v>29.464285714285712</v>
      </c>
      <c r="M70" s="34">
        <v>0</v>
      </c>
      <c r="N70" s="34">
        <v>0</v>
      </c>
      <c r="O70" s="34">
        <v>0</v>
      </c>
      <c r="P70" s="38"/>
      <c r="Q70" s="33">
        <v>-971.94439999999997</v>
      </c>
      <c r="R70" s="33">
        <v>-171.5196</v>
      </c>
      <c r="S70" s="33">
        <v>-285.86599999999999</v>
      </c>
      <c r="T70" s="33">
        <v>-15998.214285714284</v>
      </c>
      <c r="U70" s="33">
        <v>-1915.825714285714</v>
      </c>
      <c r="V70" s="33">
        <f t="shared" si="0"/>
        <v>0.42428571429149997</v>
      </c>
      <c r="W70" s="33">
        <v>17881.039999999997</v>
      </c>
      <c r="X70" s="39">
        <v>1215</v>
      </c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33">
        <v>1215</v>
      </c>
      <c r="AJ70" s="38"/>
      <c r="AK70" s="38"/>
      <c r="AL70" s="33"/>
      <c r="AM70" s="33"/>
      <c r="AN70" s="39"/>
      <c r="AO70" s="39">
        <v>0</v>
      </c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159">
        <v>1215</v>
      </c>
      <c r="BB70" s="136"/>
      <c r="BC70" s="146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DE70" s="136"/>
      <c r="DF70" s="136"/>
      <c r="DG70" s="136"/>
      <c r="DH70" s="136"/>
    </row>
    <row r="71" spans="1:112" s="4" customFormat="1" ht="15" thickBot="1">
      <c r="A71" s="188"/>
      <c r="D71" s="51"/>
      <c r="E71" s="50"/>
      <c r="F71" s="50"/>
      <c r="G71" s="50"/>
      <c r="H71" s="51"/>
      <c r="I71" s="53"/>
      <c r="J71" s="53"/>
      <c r="K71" s="53"/>
      <c r="L71" s="51"/>
      <c r="M71" s="51"/>
      <c r="N71" s="51"/>
      <c r="O71" s="51"/>
      <c r="P71" s="54"/>
      <c r="Q71" s="50"/>
      <c r="R71" s="50"/>
      <c r="S71" s="50"/>
      <c r="T71" s="50"/>
      <c r="U71" s="50"/>
      <c r="V71" s="50"/>
      <c r="W71" s="50"/>
      <c r="X71" s="158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0"/>
      <c r="AJ71" s="54"/>
      <c r="AK71" s="54"/>
      <c r="AL71" s="50"/>
      <c r="AM71" s="50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0"/>
      <c r="BB71" s="136"/>
      <c r="BC71" s="136"/>
      <c r="DE71" s="136"/>
      <c r="DF71" s="136"/>
      <c r="DG71" s="136"/>
      <c r="DH71" s="136"/>
    </row>
    <row r="72" spans="1:112" s="4" customFormat="1" ht="15.6" thickTop="1" thickBot="1">
      <c r="A72" s="56"/>
      <c r="B72" s="56"/>
      <c r="C72" s="56"/>
      <c r="D72" s="57">
        <v>598200.25</v>
      </c>
      <c r="E72" s="57">
        <v>3.6899999999986903</v>
      </c>
      <c r="F72" s="57">
        <v>74.729999999999109</v>
      </c>
      <c r="G72" s="57"/>
      <c r="H72" s="57">
        <v>400</v>
      </c>
      <c r="I72" s="57">
        <v>4918.5549999999994</v>
      </c>
      <c r="J72" s="57">
        <v>1143.8500000000001</v>
      </c>
      <c r="K72" s="57">
        <v>222707.595</v>
      </c>
      <c r="L72" s="57">
        <v>2642.1</v>
      </c>
      <c r="M72" s="57">
        <v>30.5</v>
      </c>
      <c r="N72" s="57">
        <v>34</v>
      </c>
      <c r="O72" s="57">
        <v>4446.93</v>
      </c>
      <c r="P72" s="57">
        <v>28800</v>
      </c>
      <c r="Q72" s="57">
        <v>43994.286399999997</v>
      </c>
      <c r="R72" s="57">
        <v>7763.6976000000004</v>
      </c>
      <c r="S72" s="57">
        <v>12939.495999999997</v>
      </c>
      <c r="T72" s="57">
        <v>690443.82784285722</v>
      </c>
      <c r="U72" s="57">
        <v>81994.835741142859</v>
      </c>
      <c r="V72" s="57"/>
      <c r="W72" s="57">
        <v>724498.28558399982</v>
      </c>
      <c r="X72" s="120">
        <v>3488</v>
      </c>
      <c r="Y72" s="120">
        <v>1796</v>
      </c>
      <c r="Z72" s="120">
        <v>1790</v>
      </c>
      <c r="AA72" s="120">
        <v>1805</v>
      </c>
      <c r="AB72" s="120">
        <v>0</v>
      </c>
      <c r="AC72" s="120">
        <v>0</v>
      </c>
      <c r="AD72" s="135">
        <v>0</v>
      </c>
      <c r="AE72" s="135">
        <v>0</v>
      </c>
      <c r="AF72" s="135">
        <v>0</v>
      </c>
      <c r="AG72" s="135">
        <v>0</v>
      </c>
      <c r="AH72" s="57">
        <v>0</v>
      </c>
      <c r="AI72" s="57">
        <v>8384</v>
      </c>
      <c r="AJ72" s="135">
        <v>2625</v>
      </c>
      <c r="AK72" s="57">
        <v>0</v>
      </c>
      <c r="AL72" s="57">
        <v>0</v>
      </c>
      <c r="AM72" s="57">
        <v>0</v>
      </c>
      <c r="AN72" s="134">
        <v>0</v>
      </c>
      <c r="AO72" s="134">
        <v>0</v>
      </c>
      <c r="AP72" s="57">
        <v>650</v>
      </c>
      <c r="AQ72" s="57">
        <v>0</v>
      </c>
      <c r="AR72" s="57">
        <v>0</v>
      </c>
      <c r="AS72" s="57">
        <v>0</v>
      </c>
      <c r="AT72" s="57">
        <v>0</v>
      </c>
      <c r="AU72" s="57">
        <v>0</v>
      </c>
      <c r="AV72" s="57">
        <v>0</v>
      </c>
      <c r="AW72" s="57">
        <v>0</v>
      </c>
      <c r="AX72" s="57">
        <v>0</v>
      </c>
      <c r="AY72" s="57">
        <v>0</v>
      </c>
      <c r="AZ72" s="57">
        <v>0</v>
      </c>
      <c r="BA72" s="57">
        <v>11009</v>
      </c>
      <c r="BB72" s="136"/>
      <c r="BC72" s="136"/>
      <c r="DE72" s="136"/>
      <c r="DF72" s="136"/>
      <c r="DG72" s="136"/>
      <c r="DH72" s="136"/>
    </row>
    <row r="73" spans="1:112" s="4" customFormat="1" ht="15" thickTop="1">
      <c r="D73" s="136"/>
      <c r="E73" s="147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54" t="s">
        <v>138</v>
      </c>
      <c r="U73" s="148"/>
      <c r="V73" s="148"/>
      <c r="W73" s="149" t="e">
        <f>+U72/#REF!</f>
        <v>#REF!</v>
      </c>
      <c r="X73" s="150">
        <v>3500</v>
      </c>
      <c r="Y73" s="150">
        <v>1800</v>
      </c>
      <c r="Z73" s="150">
        <v>1800</v>
      </c>
      <c r="AA73" s="150">
        <v>1800</v>
      </c>
      <c r="AB73" s="150">
        <v>1000</v>
      </c>
      <c r="AC73" s="150">
        <v>1500</v>
      </c>
      <c r="AD73" s="136"/>
      <c r="AE73" s="136"/>
      <c r="AF73" s="150">
        <v>1500</v>
      </c>
      <c r="AG73" s="150">
        <v>1500</v>
      </c>
      <c r="AH73" s="136"/>
      <c r="AI73" s="136"/>
      <c r="AJ73" s="136"/>
      <c r="AK73" s="136"/>
      <c r="AL73" s="136"/>
      <c r="AM73" s="137" t="s">
        <v>68</v>
      </c>
      <c r="AN73" s="151">
        <v>0</v>
      </c>
      <c r="AO73" s="151">
        <v>0</v>
      </c>
      <c r="AP73" s="151">
        <v>155</v>
      </c>
      <c r="AQ73" s="151">
        <v>0</v>
      </c>
      <c r="AR73" s="151">
        <v>0</v>
      </c>
      <c r="AS73" s="151">
        <v>0</v>
      </c>
      <c r="AT73" s="151">
        <v>0</v>
      </c>
      <c r="AU73" s="138"/>
      <c r="AV73" s="138"/>
      <c r="AW73" s="138"/>
      <c r="AX73" s="138"/>
      <c r="AY73" s="138"/>
      <c r="AZ73" s="138"/>
      <c r="BA73" s="147">
        <v>155</v>
      </c>
      <c r="BB73" s="136"/>
      <c r="BC73" s="136"/>
      <c r="DE73" s="136"/>
      <c r="DF73" s="136"/>
      <c r="DG73" s="136"/>
      <c r="DH73" s="136"/>
    </row>
    <row r="74" spans="1:112" s="4" customFormat="1">
      <c r="D74" s="147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54" t="s">
        <v>139</v>
      </c>
      <c r="U74" s="147">
        <f>+T72-L72-M72-N72-O72</f>
        <v>683290.2978428572</v>
      </c>
      <c r="V74" s="147"/>
      <c r="W74" s="149"/>
      <c r="X74" s="150">
        <v>12</v>
      </c>
      <c r="Y74" s="150">
        <v>4</v>
      </c>
      <c r="Z74" s="150">
        <v>10</v>
      </c>
      <c r="AA74" s="150">
        <v>-5</v>
      </c>
      <c r="AB74" s="150">
        <v>1000</v>
      </c>
      <c r="AC74" s="150">
        <v>1500</v>
      </c>
      <c r="AD74" s="150">
        <v>0</v>
      </c>
      <c r="AE74" s="150">
        <v>0</v>
      </c>
      <c r="AF74" s="150">
        <v>1500</v>
      </c>
      <c r="AG74" s="150">
        <v>1500</v>
      </c>
      <c r="AH74" s="136"/>
      <c r="AI74" s="136"/>
      <c r="AJ74" s="136"/>
      <c r="AK74" s="136"/>
      <c r="AL74" s="136"/>
      <c r="AM74" s="138" t="s">
        <v>104</v>
      </c>
      <c r="AN74" s="151">
        <v>0</v>
      </c>
      <c r="AO74" s="151">
        <v>0</v>
      </c>
      <c r="AP74" s="151">
        <v>139.5</v>
      </c>
      <c r="AQ74" s="151">
        <v>0</v>
      </c>
      <c r="AR74" s="151">
        <v>0</v>
      </c>
      <c r="AS74" s="151">
        <v>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47">
        <v>139.5</v>
      </c>
      <c r="BB74" s="136"/>
      <c r="BC74" s="136"/>
      <c r="DE74" s="136"/>
      <c r="DF74" s="136"/>
      <c r="DG74" s="136"/>
      <c r="DH74" s="136"/>
    </row>
    <row r="75" spans="1:112" s="4" customFormat="1"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54" t="s">
        <v>140</v>
      </c>
      <c r="U75" s="148"/>
      <c r="V75" s="148"/>
      <c r="W75" s="149"/>
      <c r="X75" s="150">
        <v>10.8</v>
      </c>
      <c r="Y75" s="150">
        <v>3.6</v>
      </c>
      <c r="Z75" s="150">
        <v>9</v>
      </c>
      <c r="AA75" s="150">
        <v>-4.5</v>
      </c>
      <c r="AB75" s="150">
        <v>900</v>
      </c>
      <c r="AC75" s="150">
        <v>1350</v>
      </c>
      <c r="AD75" s="150">
        <v>0</v>
      </c>
      <c r="AE75" s="150">
        <v>0</v>
      </c>
      <c r="AF75" s="150">
        <v>1350</v>
      </c>
      <c r="AG75" s="150">
        <v>1350</v>
      </c>
      <c r="AH75" s="136"/>
      <c r="AI75" s="136"/>
      <c r="AJ75" s="136"/>
      <c r="AK75" s="136"/>
      <c r="AL75" s="136"/>
      <c r="AM75" s="139"/>
      <c r="AN75" s="13"/>
      <c r="AO75" s="13"/>
      <c r="AP75" s="13"/>
      <c r="AQ75" s="13"/>
      <c r="AR75" s="13"/>
      <c r="AS75" s="13"/>
      <c r="BA75" s="136"/>
      <c r="BB75" s="136"/>
      <c r="BC75" s="136"/>
      <c r="DE75" s="136"/>
      <c r="DF75" s="136"/>
      <c r="DG75" s="136"/>
      <c r="DH75" s="136"/>
    </row>
    <row r="76" spans="1:112" s="4" customFormat="1">
      <c r="D76" s="147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54" t="s">
        <v>141</v>
      </c>
      <c r="U76" s="148"/>
      <c r="V76" s="148"/>
      <c r="W76" s="149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40" t="s">
        <v>69</v>
      </c>
      <c r="AN76" s="153">
        <v>0</v>
      </c>
      <c r="AO76" s="153">
        <v>0</v>
      </c>
      <c r="AP76" s="153">
        <v>495</v>
      </c>
      <c r="AQ76" s="153" t="e">
        <v>#VALUE!</v>
      </c>
      <c r="AR76" s="153">
        <v>0</v>
      </c>
      <c r="AS76" s="153">
        <v>0</v>
      </c>
      <c r="AT76" s="153">
        <v>0</v>
      </c>
      <c r="AU76" s="153">
        <v>0</v>
      </c>
      <c r="AV76" s="153">
        <v>0</v>
      </c>
      <c r="AW76" s="153">
        <v>0</v>
      </c>
      <c r="AX76" s="153">
        <v>0</v>
      </c>
      <c r="AY76" s="153">
        <v>0</v>
      </c>
      <c r="AZ76" s="153">
        <v>0</v>
      </c>
      <c r="BA76" s="147" t="e">
        <v>#VALUE!</v>
      </c>
      <c r="BB76" s="136"/>
      <c r="BC76" s="136"/>
      <c r="DE76" s="136"/>
      <c r="DF76" s="136"/>
      <c r="DG76" s="136"/>
      <c r="DH76" s="136"/>
    </row>
    <row r="77" spans="1:112" s="4" customForma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48">
        <v>81994.83574114283</v>
      </c>
      <c r="V77" s="148"/>
      <c r="W77" s="149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41" t="s">
        <v>104</v>
      </c>
      <c r="AN77" s="153">
        <v>0</v>
      </c>
      <c r="AO77" s="153">
        <v>0</v>
      </c>
      <c r="AP77" s="153">
        <v>445.5</v>
      </c>
      <c r="AQ77" s="153" t="e">
        <v>#VALUE!</v>
      </c>
      <c r="AR77" s="153">
        <v>0</v>
      </c>
      <c r="AS77" s="153">
        <v>0</v>
      </c>
      <c r="AT77" s="153">
        <v>0</v>
      </c>
      <c r="AU77" s="153">
        <v>0</v>
      </c>
      <c r="AV77" s="153">
        <v>0</v>
      </c>
      <c r="AW77" s="153">
        <v>0</v>
      </c>
      <c r="AX77" s="153">
        <v>0</v>
      </c>
      <c r="AY77" s="153">
        <v>0</v>
      </c>
      <c r="AZ77" s="153">
        <v>0</v>
      </c>
      <c r="BA77" s="147" t="e">
        <v>#VALUE!</v>
      </c>
      <c r="BB77" s="136"/>
      <c r="BC77" s="136"/>
      <c r="DE77" s="136"/>
      <c r="DF77" s="136"/>
      <c r="DG77" s="136"/>
      <c r="DH77" s="136"/>
    </row>
    <row r="78" spans="1:112" s="4" customForma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47">
        <v>0.12</v>
      </c>
      <c r="V78" s="147"/>
      <c r="W78" s="149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42"/>
      <c r="AN78" s="147"/>
      <c r="AO78" s="147"/>
      <c r="AP78" s="147"/>
      <c r="AQ78" s="147"/>
      <c r="AR78" s="147"/>
      <c r="AS78" s="147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DE78" s="136"/>
      <c r="DF78" s="136"/>
      <c r="DG78" s="136"/>
      <c r="DH78" s="136"/>
    </row>
    <row r="79" spans="1:112">
      <c r="A79" s="1"/>
      <c r="U79" s="148"/>
      <c r="V79" s="148"/>
      <c r="W79" s="149"/>
      <c r="AM79" s="142"/>
      <c r="AN79" s="147"/>
      <c r="AO79" s="147"/>
      <c r="AP79" s="147">
        <f>+AP74+AP77</f>
        <v>585</v>
      </c>
      <c r="AQ79" s="147"/>
      <c r="AR79" s="147"/>
      <c r="AS79" s="147"/>
    </row>
    <row r="80" spans="1:112">
      <c r="D80" s="175"/>
      <c r="L80" s="4"/>
      <c r="M80" s="4"/>
      <c r="N80" s="4"/>
      <c r="O80" s="4"/>
      <c r="P80" s="4"/>
      <c r="U80" s="147"/>
      <c r="V80" s="147"/>
      <c r="W80" s="147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139"/>
      <c r="AN80" s="53"/>
      <c r="AO80" s="53"/>
      <c r="AP80" s="53"/>
      <c r="AQ80" s="53"/>
      <c r="AR80" s="53"/>
      <c r="AS80" s="53"/>
      <c r="AT80" s="4"/>
      <c r="AU80" s="4"/>
      <c r="AV80" s="4"/>
      <c r="AW80" s="4"/>
      <c r="AX80" s="4"/>
      <c r="AY80" s="4"/>
      <c r="AZ80" s="4"/>
    </row>
    <row r="81" spans="4:43">
      <c r="D81" s="136" t="s">
        <v>110</v>
      </c>
      <c r="S81" s="147"/>
      <c r="AM81" s="142" t="s">
        <v>99</v>
      </c>
      <c r="AN81" s="150"/>
      <c r="AO81" s="150"/>
      <c r="AP81" s="150"/>
      <c r="AQ81" s="150"/>
    </row>
    <row r="82" spans="4:43">
      <c r="D82" s="147"/>
      <c r="U82" s="147"/>
      <c r="V82" s="147"/>
      <c r="W82" s="147"/>
      <c r="AN82" s="150"/>
      <c r="AO82" s="150"/>
      <c r="AP82" s="150"/>
      <c r="AQ82" s="150"/>
    </row>
    <row r="83" spans="4:43">
      <c r="D83" s="147"/>
      <c r="U83" s="147"/>
      <c r="V83" s="147"/>
      <c r="W83" s="147"/>
      <c r="AN83" s="150"/>
      <c r="AO83" s="150"/>
      <c r="AP83" s="150"/>
      <c r="AQ83" s="150"/>
    </row>
    <row r="84" spans="4:43">
      <c r="D84" s="147"/>
      <c r="AM84" s="142"/>
      <c r="AN84" s="150"/>
      <c r="AO84" s="150"/>
      <c r="AP84" s="150"/>
      <c r="AQ84" s="150"/>
    </row>
    <row r="85" spans="4:43">
      <c r="D85" s="147"/>
      <c r="AN85" s="150"/>
      <c r="AO85" s="150"/>
      <c r="AP85" s="150"/>
      <c r="AQ85" s="150"/>
    </row>
    <row r="86" spans="4:43">
      <c r="D86" s="147"/>
      <c r="AN86" s="150"/>
      <c r="AO86" s="150"/>
      <c r="AP86" s="150"/>
      <c r="AQ86" s="150"/>
    </row>
    <row r="87" spans="4:43">
      <c r="D87" s="147"/>
      <c r="AN87" s="150"/>
      <c r="AO87" s="150"/>
      <c r="AP87" s="150"/>
      <c r="AQ87" s="150"/>
    </row>
    <row r="88" spans="4:43">
      <c r="D88" s="147"/>
      <c r="E88" s="147"/>
    </row>
    <row r="89" spans="4:43">
      <c r="D89" s="147"/>
      <c r="E89" s="147"/>
    </row>
    <row r="90" spans="4:43">
      <c r="D90" s="147"/>
      <c r="E90" s="147"/>
    </row>
    <row r="91" spans="4:43">
      <c r="D91" s="147"/>
      <c r="E91" s="147"/>
    </row>
    <row r="92" spans="4:43">
      <c r="D92" s="147"/>
      <c r="E92" s="147"/>
    </row>
    <row r="93" spans="4:43">
      <c r="D93" s="147"/>
      <c r="E93" s="147"/>
    </row>
    <row r="94" spans="4:43">
      <c r="D94" s="147"/>
      <c r="E94" s="147"/>
    </row>
    <row r="95" spans="4:43">
      <c r="D95" s="147"/>
      <c r="E95" s="147"/>
    </row>
    <row r="96" spans="4:43">
      <c r="D96" s="147"/>
      <c r="E96" s="147"/>
    </row>
    <row r="97" spans="4:5">
      <c r="D97" s="147"/>
      <c r="E97" s="147"/>
    </row>
    <row r="98" spans="4:5">
      <c r="D98" s="147"/>
      <c r="E98" s="147"/>
    </row>
    <row r="99" spans="4:5">
      <c r="D99" s="147"/>
      <c r="E99" s="147"/>
    </row>
    <row r="100" spans="4:5">
      <c r="D100" s="147"/>
      <c r="E100" s="147"/>
    </row>
    <row r="101" spans="4:5">
      <c r="D101" s="147"/>
      <c r="E101" s="147"/>
    </row>
    <row r="102" spans="4:5">
      <c r="D102" s="147"/>
      <c r="E102" s="147"/>
    </row>
    <row r="103" spans="4:5">
      <c r="D103" s="147"/>
      <c r="E103" s="147"/>
    </row>
    <row r="104" spans="4:5">
      <c r="D104" s="147"/>
      <c r="E104" s="147"/>
    </row>
    <row r="105" spans="4:5">
      <c r="D105" s="147"/>
      <c r="E105" s="147"/>
    </row>
    <row r="106" spans="4:5">
      <c r="D106" s="147"/>
      <c r="E106" s="147"/>
    </row>
    <row r="107" spans="4:5">
      <c r="D107" s="147"/>
      <c r="E107" s="147"/>
    </row>
    <row r="108" spans="4:5">
      <c r="D108" s="147"/>
      <c r="E108" s="147"/>
    </row>
    <row r="109" spans="4:5">
      <c r="D109" s="147"/>
      <c r="E109" s="147"/>
    </row>
    <row r="110" spans="4:5">
      <c r="D110" s="147"/>
      <c r="E110" s="147"/>
    </row>
    <row r="111" spans="4:5">
      <c r="D111" s="147"/>
      <c r="E111" s="147"/>
    </row>
    <row r="112" spans="4:5">
      <c r="D112" s="147"/>
      <c r="E112" s="147"/>
    </row>
    <row r="113" spans="4:5">
      <c r="D113" s="147"/>
      <c r="E113" s="147"/>
    </row>
    <row r="114" spans="4:5">
      <c r="D114" s="147"/>
      <c r="E114" s="147"/>
    </row>
    <row r="115" spans="4:5">
      <c r="D115" s="147"/>
      <c r="E115" s="147"/>
    </row>
    <row r="116" spans="4:5">
      <c r="D116" s="147"/>
      <c r="E116" s="147"/>
    </row>
    <row r="117" spans="4:5">
      <c r="D117" s="147"/>
      <c r="E117" s="147"/>
    </row>
    <row r="118" spans="4:5">
      <c r="D118" s="147"/>
      <c r="E118" s="147"/>
    </row>
    <row r="119" spans="4:5">
      <c r="D119" s="147"/>
      <c r="E119" s="147"/>
    </row>
    <row r="120" spans="4:5">
      <c r="D120" s="147"/>
      <c r="E120" s="147"/>
    </row>
    <row r="121" spans="4:5">
      <c r="D121" s="147"/>
      <c r="E121" s="147"/>
    </row>
    <row r="122" spans="4:5">
      <c r="D122" s="147"/>
      <c r="E122" s="147"/>
    </row>
    <row r="123" spans="4:5">
      <c r="D123" s="147"/>
      <c r="E123" s="147"/>
    </row>
    <row r="124" spans="4:5">
      <c r="D124" s="147"/>
      <c r="E124" s="147"/>
    </row>
    <row r="125" spans="4:5">
      <c r="D125" s="147"/>
      <c r="E125" s="147"/>
    </row>
    <row r="126" spans="4:5">
      <c r="D126" s="147"/>
      <c r="E126" s="147"/>
    </row>
    <row r="127" spans="4:5">
      <c r="D127" s="147"/>
      <c r="E127" s="147"/>
    </row>
    <row r="128" spans="4:5">
      <c r="D128" s="147"/>
      <c r="E128" s="147"/>
    </row>
    <row r="129" spans="4:5">
      <c r="D129" s="147"/>
      <c r="E129" s="147"/>
    </row>
    <row r="130" spans="4:5">
      <c r="D130" s="147"/>
      <c r="E130" s="147"/>
    </row>
    <row r="131" spans="4:5">
      <c r="D131" s="147"/>
      <c r="E131" s="147"/>
    </row>
    <row r="132" spans="4:5">
      <c r="D132" s="147"/>
      <c r="E132" s="147"/>
    </row>
    <row r="133" spans="4:5">
      <c r="D133" s="147"/>
      <c r="E133" s="147"/>
    </row>
    <row r="134" spans="4:5">
      <c r="D134" s="147"/>
      <c r="E134" s="147"/>
    </row>
    <row r="135" spans="4:5">
      <c r="D135" s="147"/>
      <c r="E135" s="147"/>
    </row>
    <row r="136" spans="4:5">
      <c r="D136" s="147"/>
      <c r="E136" s="147"/>
    </row>
    <row r="137" spans="4:5">
      <c r="D137" s="147"/>
      <c r="E137" s="147"/>
    </row>
    <row r="138" spans="4:5">
      <c r="D138" s="147"/>
      <c r="E138" s="147"/>
    </row>
    <row r="139" spans="4:5">
      <c r="D139" s="147"/>
      <c r="E139" s="147"/>
    </row>
    <row r="140" spans="4:5">
      <c r="D140" s="147"/>
      <c r="E140" s="147"/>
    </row>
    <row r="141" spans="4:5">
      <c r="D141" s="147"/>
      <c r="E141" s="147"/>
    </row>
    <row r="142" spans="4:5">
      <c r="D142" s="147"/>
      <c r="E142" s="147"/>
    </row>
    <row r="143" spans="4:5">
      <c r="D143" s="147"/>
      <c r="E143" s="147"/>
    </row>
    <row r="144" spans="4:5">
      <c r="D144" s="147"/>
      <c r="E144" s="147"/>
    </row>
    <row r="145" spans="4:5">
      <c r="D145" s="147"/>
      <c r="E145" s="147"/>
    </row>
    <row r="146" spans="4:5">
      <c r="D146" s="147"/>
      <c r="E146" s="147"/>
    </row>
    <row r="147" spans="4:5">
      <c r="D147" s="147"/>
      <c r="E147" s="147"/>
    </row>
    <row r="148" spans="4:5">
      <c r="D148" s="147"/>
      <c r="E148" s="147"/>
    </row>
    <row r="149" spans="4:5">
      <c r="D149" s="147"/>
      <c r="E149" s="147"/>
    </row>
    <row r="150" spans="4:5">
      <c r="D150" s="147"/>
      <c r="E150" s="147"/>
    </row>
    <row r="151" spans="4:5">
      <c r="D151" s="147"/>
      <c r="E151" s="147"/>
    </row>
    <row r="152" spans="4:5">
      <c r="D152" s="147"/>
      <c r="E152" s="147"/>
    </row>
    <row r="153" spans="4:5">
      <c r="D153" s="147"/>
      <c r="E153" s="147"/>
    </row>
    <row r="154" spans="4:5">
      <c r="D154" s="147"/>
      <c r="E154" s="147"/>
    </row>
    <row r="155" spans="4:5">
      <c r="D155" s="147"/>
      <c r="E155" s="147"/>
    </row>
    <row r="156" spans="4:5">
      <c r="D156" s="147"/>
      <c r="E156" s="147"/>
    </row>
    <row r="157" spans="4:5">
      <c r="D157" s="147"/>
      <c r="E157" s="147"/>
    </row>
  </sheetData>
  <mergeCells count="40">
    <mergeCell ref="E6:E7"/>
    <mergeCell ref="F6:F7"/>
    <mergeCell ref="H6:H7"/>
    <mergeCell ref="B6:B7"/>
    <mergeCell ref="D6:D7"/>
    <mergeCell ref="L6:L7"/>
    <mergeCell ref="M6:M7"/>
    <mergeCell ref="N6:N7"/>
    <mergeCell ref="O6:O7"/>
    <mergeCell ref="I6:I7"/>
    <mergeCell ref="J6:J7"/>
    <mergeCell ref="K6:K7"/>
    <mergeCell ref="AD6:AD7"/>
    <mergeCell ref="Q6:R6"/>
    <mergeCell ref="S6:S7"/>
    <mergeCell ref="T6:T7"/>
    <mergeCell ref="U6:U7"/>
    <mergeCell ref="W6:W7"/>
    <mergeCell ref="Y6:Y7"/>
    <mergeCell ref="Z6:Z7"/>
    <mergeCell ref="AA6:AA7"/>
    <mergeCell ref="AB6:AB7"/>
    <mergeCell ref="AC6:AC7"/>
    <mergeCell ref="AS6:AS7"/>
    <mergeCell ref="AE6:AE7"/>
    <mergeCell ref="AF6:AF7"/>
    <mergeCell ref="AG6:AG7"/>
    <mergeCell ref="AJ6:AJ7"/>
    <mergeCell ref="AL6:AL7"/>
    <mergeCell ref="AM6:AM7"/>
    <mergeCell ref="AN6:AN7"/>
    <mergeCell ref="AO6:AO7"/>
    <mergeCell ref="AP6:AP7"/>
    <mergeCell ref="AQ6:AQ7"/>
    <mergeCell ref="AR6:AR7"/>
    <mergeCell ref="AT6:AT7"/>
    <mergeCell ref="AU6:AU7"/>
    <mergeCell ref="AV6:AV7"/>
    <mergeCell ref="AW6:AW7"/>
    <mergeCell ref="BA6:BA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4.4"/>
  <cols>
    <col min="1" max="1" width="22.5546875" bestFit="1" customWidth="1"/>
    <col min="11" max="11" width="10" customWidth="1"/>
    <col min="12" max="12" width="10.109375" customWidth="1"/>
    <col min="13" max="13" width="9.5546875" customWidth="1"/>
    <col min="14" max="14" width="11.33203125" customWidth="1"/>
    <col min="15" max="15" width="11.44140625" customWidth="1"/>
  </cols>
  <sheetData>
    <row r="2" spans="1:32">
      <c r="B2" s="60">
        <f>'SALES SUMMARY'!A9</f>
        <v>43282</v>
      </c>
      <c r="C2" s="60">
        <f>'SALES SUMMARY'!A12</f>
        <v>43283</v>
      </c>
      <c r="D2" s="60">
        <f>'SALES SUMMARY'!A15</f>
        <v>43284</v>
      </c>
      <c r="E2" s="60">
        <f>'SALES SUMMARY'!A18</f>
        <v>43285</v>
      </c>
      <c r="F2" s="60">
        <f>'SALES SUMMARY'!A21</f>
        <v>43286</v>
      </c>
      <c r="G2" s="60">
        <f>'SALES SUMMARY'!A24</f>
        <v>43287</v>
      </c>
      <c r="H2" s="60">
        <f>'SALES SUMMARY'!A27</f>
        <v>43288</v>
      </c>
      <c r="I2" s="60">
        <f>'SALES SUMMARY'!A30</f>
        <v>43289</v>
      </c>
      <c r="J2" s="60">
        <f>'SALES SUMMARY'!A33</f>
        <v>43290</v>
      </c>
      <c r="K2" s="60">
        <f>'SALES SUMMARY'!A36</f>
        <v>43291</v>
      </c>
      <c r="L2" s="60">
        <f>'SALES SUMMARY'!A39</f>
        <v>43292</v>
      </c>
      <c r="M2" s="60">
        <f>'SALES SUMMARY'!A42</f>
        <v>43293</v>
      </c>
      <c r="N2" s="60">
        <f>'SALES SUMMARY'!A45</f>
        <v>43294</v>
      </c>
      <c r="O2" s="60">
        <f>'SALES SUMMARY'!A48</f>
        <v>43295</v>
      </c>
      <c r="P2" s="60">
        <f>'SALES SUMMARY'!A51</f>
        <v>43296</v>
      </c>
      <c r="Q2" s="60">
        <f>'SALES SUMMARY'!A54</f>
        <v>43297</v>
      </c>
      <c r="R2" s="60">
        <f>'SALES SUMMARY'!A57</f>
        <v>43298</v>
      </c>
      <c r="S2" s="60">
        <f>'SALES SUMMARY'!A60</f>
        <v>43299</v>
      </c>
      <c r="T2" s="60">
        <f>'SALES SUMMARY'!A63</f>
        <v>43300</v>
      </c>
      <c r="U2" s="60">
        <f>'SALES SUMMARY'!A66</f>
        <v>43301</v>
      </c>
      <c r="V2" s="60">
        <f>'SALES SUMMARY'!A69</f>
        <v>43302</v>
      </c>
      <c r="W2" s="60">
        <f>'SALES SUMMARY'!A72</f>
        <v>43303</v>
      </c>
      <c r="X2" s="60">
        <f>'SALES SUMMARY'!A75</f>
        <v>43304</v>
      </c>
      <c r="Y2" s="60">
        <f>'SALES SUMMARY'!A78</f>
        <v>43305</v>
      </c>
      <c r="Z2" s="60">
        <f>'SALES SUMMARY'!A81</f>
        <v>43306</v>
      </c>
      <c r="AA2" s="60">
        <f>'SALES SUMMARY'!A84</f>
        <v>43307</v>
      </c>
      <c r="AB2" s="60">
        <f>'SALES SUMMARY'!A87</f>
        <v>43308</v>
      </c>
      <c r="AC2" s="60">
        <f>'SALES SUMMARY'!A90</f>
        <v>43309</v>
      </c>
      <c r="AD2" s="60">
        <f>'SALES SUMMARY'!A93</f>
        <v>43310</v>
      </c>
      <c r="AE2" s="60">
        <f>'SALES SUMMARY'!A96</f>
        <v>43311</v>
      </c>
      <c r="AF2" s="60">
        <f>'SALES SUMMARY'!A99</f>
        <v>43312</v>
      </c>
    </row>
    <row r="3" spans="1:32">
      <c r="A3" s="59" t="s">
        <v>6</v>
      </c>
      <c r="B3" s="61">
        <f>'SALES SUMMARY'!E11</f>
        <v>0</v>
      </c>
      <c r="C3" s="61">
        <f>'SALES SUMMARY'!E14</f>
        <v>18501</v>
      </c>
      <c r="D3" s="61">
        <f>'SALES SUMMARY'!E17</f>
        <v>26827</v>
      </c>
      <c r="E3" s="61">
        <f>'SALES SUMMARY'!E20</f>
        <v>24732</v>
      </c>
      <c r="F3" s="61">
        <f>'SALES SUMMARY'!E23</f>
        <v>35678</v>
      </c>
      <c r="G3" s="61">
        <f>'SALES SUMMARY'!E26</f>
        <v>39831</v>
      </c>
      <c r="H3" s="61">
        <f>'SALES SUMMARY'!E29</f>
        <v>14580</v>
      </c>
      <c r="I3" s="61">
        <f>'SALES SUMMARY'!E32</f>
        <v>0</v>
      </c>
      <c r="J3" s="61">
        <f>'SALES SUMMARY'!E35</f>
        <v>20833</v>
      </c>
      <c r="K3" s="61">
        <f>'SALES SUMMARY'!E38</f>
        <v>20004</v>
      </c>
      <c r="L3" s="61">
        <f>'SALES SUMMARY'!E41</f>
        <v>37493</v>
      </c>
      <c r="M3" s="61">
        <f>'SALES SUMMARY'!E44</f>
        <v>26177</v>
      </c>
      <c r="N3" s="61">
        <f>'SALES SUMMARY'!E47</f>
        <v>33657</v>
      </c>
      <c r="O3" s="61">
        <f>'SALES SUMMARY'!E50</f>
        <v>10257</v>
      </c>
      <c r="P3" s="61">
        <f>'SALES SUMMARY'!E53</f>
        <v>0</v>
      </c>
      <c r="Q3" s="61">
        <f>'SALES SUMMARY'!E56</f>
        <v>17412</v>
      </c>
      <c r="R3" s="61">
        <f>'SALES SUMMARY'!E59</f>
        <v>25781.25</v>
      </c>
      <c r="S3" s="61">
        <f>'SALES SUMMARY'!E62</f>
        <v>19003</v>
      </c>
      <c r="T3" s="61">
        <f>'SALES SUMMARY'!E65</f>
        <v>14272</v>
      </c>
      <c r="U3" s="61">
        <f>'SALES SUMMARY'!E68</f>
        <v>24991</v>
      </c>
      <c r="V3" s="61">
        <f>'SALES SUMMARY'!E71</f>
        <v>6980</v>
      </c>
      <c r="W3" s="61">
        <f>'SALES SUMMARY'!E74</f>
        <v>0</v>
      </c>
      <c r="X3" s="61">
        <f>'SALES SUMMARY'!E77</f>
        <v>18810</v>
      </c>
      <c r="Y3" s="61">
        <f>'SALES SUMMARY'!E80</f>
        <v>23645</v>
      </c>
      <c r="Z3" s="61">
        <f>'SALES SUMMARY'!E83</f>
        <v>23273</v>
      </c>
      <c r="AA3" s="61">
        <f>'SALES SUMMARY'!E86</f>
        <v>27864</v>
      </c>
      <c r="AB3" s="61">
        <f>'SALES SUMMARY'!E89</f>
        <v>37217</v>
      </c>
      <c r="AC3" s="61">
        <f>'SALES SUMMARY'!E92</f>
        <v>3486</v>
      </c>
      <c r="AD3" s="61">
        <f>'SALES SUMMARY'!E95</f>
        <v>0</v>
      </c>
      <c r="AE3" s="61">
        <f>'SALES SUMMARY'!E98</f>
        <v>13446</v>
      </c>
      <c r="AF3" s="61">
        <f>'SALES SUMMARY'!E103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-0.93000000000029104</v>
      </c>
      <c r="L5" s="61">
        <f>-'SALES SUMMARY'!G41</f>
        <v>-5.9999999999490683E-2</v>
      </c>
      <c r="M5" s="61">
        <f>-'SALES SUMMARY'!G44</f>
        <v>0</v>
      </c>
      <c r="N5" s="61">
        <f>-'SALES SUMMARY'!G47</f>
        <v>0</v>
      </c>
      <c r="O5" s="61">
        <f>-'SALES SUMMARY'!G50</f>
        <v>-2.1399999999994179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-0.12999999999919964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-0.43000000000029104</v>
      </c>
      <c r="AF5" s="61">
        <f>-'SALES SUMMARY'!G103</f>
        <v>0</v>
      </c>
    </row>
    <row r="6" spans="1:32">
      <c r="A6" s="59" t="s">
        <v>9</v>
      </c>
      <c r="B6" s="61">
        <f>'SALES SUMMARY'!H11</f>
        <v>0</v>
      </c>
      <c r="C6" s="61">
        <f>'SALES SUMMARY'!H14</f>
        <v>1.819999999999709</v>
      </c>
      <c r="D6" s="61">
        <f>'SALES SUMMARY'!H17</f>
        <v>1.1399999999994179</v>
      </c>
      <c r="E6" s="61">
        <f>'SALES SUMMARY'!H20</f>
        <v>2.2300000000013824</v>
      </c>
      <c r="F6" s="61">
        <f>'SALES SUMMARY'!H23</f>
        <v>8.5799999999999272</v>
      </c>
      <c r="G6" s="61">
        <f>'SALES SUMMARY'!H26</f>
        <v>8.2299999999995634</v>
      </c>
      <c r="H6" s="61">
        <f>'SALES SUMMARY'!H29</f>
        <v>0.18000000000029104</v>
      </c>
      <c r="I6" s="61">
        <f>'SALES SUMMARY'!H32</f>
        <v>0</v>
      </c>
      <c r="J6" s="61">
        <f>'SALES SUMMARY'!H35</f>
        <v>1.7099999999991269</v>
      </c>
      <c r="K6" s="61">
        <f>'SALES SUMMARY'!H38</f>
        <v>7.3999999999996362</v>
      </c>
      <c r="L6" s="61">
        <f>'SALES SUMMARY'!H41</f>
        <v>0.43999999999869033</v>
      </c>
      <c r="M6" s="61">
        <f>'SALES SUMMARY'!H44</f>
        <v>3.4400000000005093</v>
      </c>
      <c r="N6" s="61">
        <f>'SALES SUMMARY'!H47</f>
        <v>4.8600000000005821</v>
      </c>
      <c r="O6" s="61">
        <f>'SALES SUMMARY'!H50</f>
        <v>0</v>
      </c>
      <c r="P6" s="61">
        <f>'SALES SUMMARY'!H53</f>
        <v>0</v>
      </c>
      <c r="Q6" s="61">
        <f>'SALES SUMMARY'!H56</f>
        <v>6.6499999999996362</v>
      </c>
      <c r="R6" s="61">
        <f>'SALES SUMMARY'!H59</f>
        <v>1.3900000000012369</v>
      </c>
      <c r="S6" s="61">
        <f>'SALES SUMMARY'!H62</f>
        <v>0.18000000000029104</v>
      </c>
      <c r="T6" s="61">
        <f>'SALES SUMMARY'!H65</f>
        <v>7.1099999999996726</v>
      </c>
      <c r="U6" s="61">
        <f>'SALES SUMMARY'!H68</f>
        <v>0</v>
      </c>
      <c r="V6" s="61">
        <f>'SALES SUMMARY'!H71</f>
        <v>1.4499999999998181</v>
      </c>
      <c r="W6" s="61">
        <f>'SALES SUMMARY'!H74</f>
        <v>0</v>
      </c>
      <c r="X6" s="61">
        <f>'SALES SUMMARY'!H77</f>
        <v>1.0300000000006548</v>
      </c>
      <c r="Y6" s="61">
        <f>'SALES SUMMARY'!H80</f>
        <v>4.5999999999985448</v>
      </c>
      <c r="Z6" s="61">
        <f>'SALES SUMMARY'!H83</f>
        <v>4.1299999999991996</v>
      </c>
      <c r="AA6" s="61">
        <f>'SALES SUMMARY'!H86</f>
        <v>4.429999999998472</v>
      </c>
      <c r="AB6" s="61">
        <f>'SALES SUMMARY'!H89</f>
        <v>1.5100000000020373</v>
      </c>
      <c r="AC6" s="61">
        <f>'SALES SUMMARY'!H92</f>
        <v>0.28000000000020009</v>
      </c>
      <c r="AD6" s="61">
        <f>'SALES SUMMARY'!H95</f>
        <v>0</v>
      </c>
      <c r="AE6" s="61">
        <f>'SALES SUMMARY'!H98</f>
        <v>0.87000000000080036</v>
      </c>
      <c r="AF6" s="61">
        <f>'SALES SUMMARY'!H103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-400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SUMMARY'!I103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SUMMARY'!J103</f>
        <v>0</v>
      </c>
    </row>
    <row r="9" spans="1:32">
      <c r="A9" s="59" t="s">
        <v>14</v>
      </c>
      <c r="B9" s="61">
        <f>-'SALES SUMMARY'!M11</f>
        <v>0</v>
      </c>
      <c r="C9" s="61">
        <f>-'SALES SUMMARY'!M14</f>
        <v>-105.19562999999998</v>
      </c>
      <c r="D9" s="61">
        <f>-'SALES SUMMARY'!M17</f>
        <v>-83.81474</v>
      </c>
      <c r="E9" s="61">
        <f>-'SALES SUMMARY'!M20</f>
        <v>-115.85124499999999</v>
      </c>
      <c r="F9" s="61">
        <f>-'SALES SUMMARY'!M23</f>
        <v>-316.89774499999999</v>
      </c>
      <c r="G9" s="61">
        <f>-'SALES SUMMARY'!M26</f>
        <v>-364.37726999999995</v>
      </c>
      <c r="H9" s="61">
        <f>-'SALES SUMMARY'!M29</f>
        <v>-32.511009999999999</v>
      </c>
      <c r="I9" s="61">
        <f>-'SALES SUMMARY'!M32</f>
        <v>0</v>
      </c>
      <c r="J9" s="61">
        <f>-'SALES SUMMARY'!M35</f>
        <v>-176.03039000000001</v>
      </c>
      <c r="K9" s="61">
        <f>-'SALES SUMMARY'!M38</f>
        <v>-185.92812999999998</v>
      </c>
      <c r="L9" s="61">
        <f>-'SALES SUMMARY'!M41</f>
        <v>-393.26875499999994</v>
      </c>
      <c r="M9" s="61">
        <f>-'SALES SUMMARY'!M44</f>
        <v>-371.09172000000001</v>
      </c>
      <c r="N9" s="61">
        <f>-'SALES SUMMARY'!M47</f>
        <v>-191.01545999999999</v>
      </c>
      <c r="O9" s="61">
        <f>-'SALES SUMMARY'!M50</f>
        <v>-13.232175</v>
      </c>
      <c r="P9" s="61">
        <f>-'SALES SUMMARY'!M53</f>
        <v>0</v>
      </c>
      <c r="Q9" s="61">
        <f>-'SALES SUMMARY'!M56</f>
        <v>-196.49065000000002</v>
      </c>
      <c r="R9" s="61">
        <f>-'SALES SUMMARY'!M59</f>
        <v>-74.942980000000006</v>
      </c>
      <c r="S9" s="61">
        <f>-'SALES SUMMARY'!M62</f>
        <v>-175.34862499999997</v>
      </c>
      <c r="T9" s="61">
        <f>-'SALES SUMMARY'!M65</f>
        <v>-111.93932</v>
      </c>
      <c r="U9" s="61">
        <f>-'SALES SUMMARY'!M68</f>
        <v>-162.63395499999999</v>
      </c>
      <c r="V9" s="61">
        <f>-'SALES SUMMARY'!M71</f>
        <v>-29.696014999999999</v>
      </c>
      <c r="W9" s="61">
        <f>-'SALES SUMMARY'!M74</f>
        <v>0</v>
      </c>
      <c r="X9" s="61">
        <f>-'SALES SUMMARY'!M77</f>
        <v>-163.88181499999999</v>
      </c>
      <c r="Y9" s="61">
        <f>-'SALES SUMMARY'!M80</f>
        <v>-264.24359999999996</v>
      </c>
      <c r="Z9" s="61">
        <f>-'SALES SUMMARY'!M83</f>
        <v>-162.141605</v>
      </c>
      <c r="AA9" s="61">
        <f>-'SALES SUMMARY'!M86</f>
        <v>-260.68814499999996</v>
      </c>
      <c r="AB9" s="61">
        <f>-'SALES SUMMARY'!M89</f>
        <v>-226.46315499999997</v>
      </c>
      <c r="AC9" s="61">
        <f>-'SALES SUMMARY'!M92</f>
        <v>-54.33350999999999</v>
      </c>
      <c r="AD9" s="61">
        <f>-'SALES SUMMARY'!M95</f>
        <v>0</v>
      </c>
      <c r="AE9" s="61">
        <f>-'SALES SUMMARY'!M98</f>
        <v>-149.26009499999998</v>
      </c>
      <c r="AF9" s="61">
        <f>-'SALES SUMMARY'!M103</f>
        <v>0</v>
      </c>
    </row>
    <row r="10" spans="1:32">
      <c r="A10" s="59" t="s">
        <v>15</v>
      </c>
      <c r="B10" s="61">
        <f>-'SALES SUMMARY'!N11</f>
        <v>0</v>
      </c>
      <c r="C10" s="61">
        <f>-'SALES SUMMARY'!N14</f>
        <v>-24.464099999999998</v>
      </c>
      <c r="D10" s="61">
        <f>-'SALES SUMMARY'!N17</f>
        <v>-19.491800000000001</v>
      </c>
      <c r="E10" s="61">
        <f>-'SALES SUMMARY'!N20</f>
        <v>-26.942150000000002</v>
      </c>
      <c r="F10" s="61">
        <f>-'SALES SUMMARY'!N23</f>
        <v>-73.697150000000008</v>
      </c>
      <c r="G10" s="61">
        <f>-'SALES SUMMARY'!N26</f>
        <v>-84.738900000000001</v>
      </c>
      <c r="H10" s="61">
        <f>-'SALES SUMMARY'!N29</f>
        <v>-7.5607000000000006</v>
      </c>
      <c r="I10" s="61">
        <f>-'SALES SUMMARY'!N32</f>
        <v>0</v>
      </c>
      <c r="J10" s="61">
        <f>-'SALES SUMMARY'!N35</f>
        <v>-40.937300000000008</v>
      </c>
      <c r="K10" s="61">
        <f>-'SALES SUMMARY'!N38</f>
        <v>-43.239100000000001</v>
      </c>
      <c r="L10" s="61">
        <f>-'SALES SUMMARY'!N41</f>
        <v>-91.457849999999993</v>
      </c>
      <c r="M10" s="61">
        <f>-'SALES SUMMARY'!N44</f>
        <v>-86.300399999999996</v>
      </c>
      <c r="N10" s="61">
        <f>-'SALES SUMMARY'!N47</f>
        <v>-44.422200000000004</v>
      </c>
      <c r="O10" s="61">
        <f>-'SALES SUMMARY'!N50</f>
        <v>-3.0772500000000003</v>
      </c>
      <c r="P10" s="61">
        <f>-'SALES SUMMARY'!N53</f>
        <v>0</v>
      </c>
      <c r="Q10" s="61">
        <f>-'SALES SUMMARY'!N56</f>
        <v>-45.695500000000003</v>
      </c>
      <c r="R10" s="61">
        <f>-'SALES SUMMARY'!N59</f>
        <v>-17.428599999999999</v>
      </c>
      <c r="S10" s="61">
        <f>-'SALES SUMMARY'!N62</f>
        <v>-40.778749999999995</v>
      </c>
      <c r="T10" s="61">
        <f>-'SALES SUMMARY'!N65</f>
        <v>-26.032400000000003</v>
      </c>
      <c r="U10" s="61">
        <f>-'SALES SUMMARY'!N68</f>
        <v>-37.821849999999998</v>
      </c>
      <c r="V10" s="61">
        <f>-'SALES SUMMARY'!N71</f>
        <v>-6.9060500000000005</v>
      </c>
      <c r="W10" s="61">
        <f>-'SALES SUMMARY'!N74</f>
        <v>0</v>
      </c>
      <c r="X10" s="61">
        <f>-'SALES SUMMARY'!N77</f>
        <v>-38.112050000000004</v>
      </c>
      <c r="Y10" s="61">
        <f>-'SALES SUMMARY'!N80</f>
        <v>-61.452000000000005</v>
      </c>
      <c r="Z10" s="61">
        <f>-'SALES SUMMARY'!N83</f>
        <v>-37.707350000000005</v>
      </c>
      <c r="AA10" s="61">
        <f>-'SALES SUMMARY'!N86</f>
        <v>-60.625149999999998</v>
      </c>
      <c r="AB10" s="61">
        <f>-'SALES SUMMARY'!N89</f>
        <v>-52.665850000000006</v>
      </c>
      <c r="AC10" s="61">
        <f>-'SALES SUMMARY'!N92</f>
        <v>-12.6357</v>
      </c>
      <c r="AD10" s="61">
        <f>-'SALES SUMMARY'!N95</f>
        <v>0</v>
      </c>
      <c r="AE10" s="61">
        <f>-'SALES SUMMARY'!N98</f>
        <v>-34.711650000000006</v>
      </c>
      <c r="AF10" s="61">
        <f>-'SALES SUMMARY'!N103</f>
        <v>0</v>
      </c>
    </row>
    <row r="11" spans="1:32">
      <c r="A11" s="59" t="s">
        <v>16</v>
      </c>
      <c r="B11" s="61">
        <f>-'SALES SUMMARY'!O11</f>
        <v>0</v>
      </c>
      <c r="C11" s="61">
        <f>-'SALES SUMMARY'!O14</f>
        <v>-4763.1602699999994</v>
      </c>
      <c r="D11" s="61">
        <f>-'SALES SUMMARY'!O17</f>
        <v>-3795.0534600000005</v>
      </c>
      <c r="E11" s="61">
        <f>-'SALES SUMMARY'!O20</f>
        <v>-5245.6366050000006</v>
      </c>
      <c r="F11" s="61">
        <f>-'SALES SUMMARY'!O23</f>
        <v>-14348.835105</v>
      </c>
      <c r="G11" s="61">
        <f>-'SALES SUMMARY'!O26</f>
        <v>-16498.663829999998</v>
      </c>
      <c r="H11" s="61">
        <f>-'SALES SUMMARY'!O29</f>
        <v>-1472.0682900000002</v>
      </c>
      <c r="I11" s="61">
        <f>-'SALES SUMMARY'!O32</f>
        <v>0</v>
      </c>
      <c r="J11" s="61">
        <f>-'SALES SUMMARY'!O35</f>
        <v>-7970.4923099999996</v>
      </c>
      <c r="K11" s="61">
        <f>-'SALES SUMMARY'!O38</f>
        <v>-8418.6527700000006</v>
      </c>
      <c r="L11" s="61">
        <f>-'SALES SUMMARY'!O41</f>
        <v>-17806.843394999996</v>
      </c>
      <c r="M11" s="61">
        <f>-'SALES SUMMARY'!O44</f>
        <v>-16802.687880000001</v>
      </c>
      <c r="N11" s="61">
        <f>-'SALES SUMMARY'!O47</f>
        <v>-8649.0023399999991</v>
      </c>
      <c r="O11" s="61">
        <f>-'SALES SUMMARY'!O50</f>
        <v>-599.14057500000001</v>
      </c>
      <c r="P11" s="61">
        <f>-'SALES SUMMARY'!O53</f>
        <v>0</v>
      </c>
      <c r="Q11" s="61">
        <f>-'SALES SUMMARY'!O56</f>
        <v>-8896.9138500000008</v>
      </c>
      <c r="R11" s="61">
        <f>-'SALES SUMMARY'!O59</f>
        <v>-3393.3484199999998</v>
      </c>
      <c r="S11" s="61">
        <f>-'SALES SUMMARY'!O62</f>
        <v>-7939.6226250000009</v>
      </c>
      <c r="T11" s="61">
        <f>-'SALES SUMMARY'!O65</f>
        <v>-5068.50828</v>
      </c>
      <c r="U11" s="61">
        <f>-'SALES SUMMARY'!O68</f>
        <v>-7363.9141949999994</v>
      </c>
      <c r="V11" s="61">
        <f>-'SALES SUMMARY'!O71</f>
        <v>-1344.607935</v>
      </c>
      <c r="W11" s="61">
        <f>-'SALES SUMMARY'!O74</f>
        <v>0</v>
      </c>
      <c r="X11" s="61">
        <f>-'SALES SUMMARY'!O77</f>
        <v>-7420.4161350000004</v>
      </c>
      <c r="Y11" s="61">
        <f>-'SALES SUMMARY'!O80</f>
        <v>-11964.704399999999</v>
      </c>
      <c r="Z11" s="61">
        <f>-'SALES SUMMARY'!O83</f>
        <v>-7341.6210449999999</v>
      </c>
      <c r="AA11" s="61">
        <f>-'SALES SUMMARY'!O86</f>
        <v>-11803.716704999999</v>
      </c>
      <c r="AB11" s="61">
        <f>-'SALES SUMMARY'!O89</f>
        <v>-10254.040995000001</v>
      </c>
      <c r="AC11" s="61">
        <f>-'SALES SUMMARY'!O92</f>
        <v>-2460.1707900000001</v>
      </c>
      <c r="AD11" s="61">
        <f>-'SALES SUMMARY'!O95</f>
        <v>0</v>
      </c>
      <c r="AE11" s="61">
        <f>-'SALES SUMMARY'!O98</f>
        <v>-6758.3582549999992</v>
      </c>
      <c r="AF11" s="61">
        <f>-'SALES SUMMARY'!O103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SUMMARY'!P103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SUMMARY'!T103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SUMMARY'!U103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SUMMARY'!V103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SUMMARY'!W103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SUMMARY'!Y103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SUMMARY'!Z103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SUMMARY'!AA103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SUMMARY'!AB103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SUMMARY'!AC103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SUMMARY'!AE103</f>
        <v>0</v>
      </c>
    </row>
    <row r="23" spans="1:32">
      <c r="A23" s="59" t="s">
        <v>52</v>
      </c>
      <c r="B23" s="61">
        <f>'SALES SUMMARY'!AG11</f>
        <v>0</v>
      </c>
      <c r="C23" s="61">
        <f>'SALES SUMMARY'!AG14</f>
        <v>1201.0704000000001</v>
      </c>
      <c r="D23" s="61">
        <f>'SALES SUMMARY'!AG17</f>
        <v>1698.6604</v>
      </c>
      <c r="E23" s="61">
        <f>'SALES SUMMARY'!AG20</f>
        <v>1557.8323999999998</v>
      </c>
      <c r="F23" s="61">
        <f>'SALES SUMMARY'!AG23</f>
        <v>2644.9755999999998</v>
      </c>
      <c r="G23" s="61">
        <f>'SALES SUMMARY'!AG26</f>
        <v>3028.0944</v>
      </c>
      <c r="H23" s="61">
        <f>'SALES SUMMARY'!AG29</f>
        <v>863.96039999999994</v>
      </c>
      <c r="I23" s="61">
        <f>'SALES SUMMARY'!AG32</f>
        <v>0</v>
      </c>
      <c r="J23" s="61">
        <f>'SALES SUMMARY'!AG35</f>
        <v>2048.0376000000001</v>
      </c>
      <c r="K23" s="61">
        <f>'SALES SUMMARY'!AG38</f>
        <v>1530.5304000000001</v>
      </c>
      <c r="L23" s="61">
        <f>'SALES SUMMARY'!AG41</f>
        <v>2815.6487999999999</v>
      </c>
      <c r="M23" s="61">
        <f>'SALES SUMMARY'!AG44</f>
        <v>2194.1764000000003</v>
      </c>
      <c r="N23" s="61">
        <f>'SALES SUMMARY'!AG47</f>
        <v>2184.5747999999999</v>
      </c>
      <c r="O23" s="61">
        <f>'SALES SUMMARY'!AG50</f>
        <v>584.41239999999993</v>
      </c>
      <c r="P23" s="61">
        <f>'SALES SUMMARY'!AG53</f>
        <v>0</v>
      </c>
      <c r="Q23" s="61">
        <f>'SALES SUMMARY'!AG56</f>
        <v>1407.7156</v>
      </c>
      <c r="R23" s="61">
        <f>'SALES SUMMARY'!AG59</f>
        <v>1219.1787999999999</v>
      </c>
      <c r="S23" s="61">
        <f>'SALES SUMMARY'!AG62</f>
        <v>1377.9044000000001</v>
      </c>
      <c r="T23" s="61">
        <f>'SALES SUMMARY'!AG65</f>
        <v>986.9316</v>
      </c>
      <c r="U23" s="61">
        <f>'SALES SUMMARY'!AG68</f>
        <v>1691.2483999999999</v>
      </c>
      <c r="V23" s="61">
        <f>'SALES SUMMARY'!AG71</f>
        <v>409.8768</v>
      </c>
      <c r="W23" s="61">
        <f>'SALES SUMMARY'!AG74</f>
        <v>0</v>
      </c>
      <c r="X23" s="61">
        <f>'SALES SUMMARY'!AG77</f>
        <v>1352.9484000000002</v>
      </c>
      <c r="Y23" s="61">
        <f>'SALES SUMMARY'!AG80</f>
        <v>1706.1268</v>
      </c>
      <c r="Z23" s="61">
        <f>'SALES SUMMARY'!AG83</f>
        <v>1598.9248000000002</v>
      </c>
      <c r="AA23" s="61">
        <f>'SALES SUMMARY'!AG86</f>
        <v>2983.7856000000002</v>
      </c>
      <c r="AB23" s="61">
        <f>'SALES SUMMARY'!AG89</f>
        <v>2487.2564000000002</v>
      </c>
      <c r="AC23" s="61">
        <f>'SALES SUMMARY'!AG92</f>
        <v>1137.2524000000001</v>
      </c>
      <c r="AD23" s="61">
        <f>'SALES SUMMARY'!AG95</f>
        <v>0</v>
      </c>
      <c r="AE23" s="61">
        <f>'SALES SUMMARY'!AG98</f>
        <v>943.67680000000007</v>
      </c>
      <c r="AF23" s="61">
        <f>'SALES SUMMARY'!AG103</f>
        <v>0</v>
      </c>
    </row>
    <row r="24" spans="1:32">
      <c r="A24" s="59" t="s">
        <v>53</v>
      </c>
      <c r="B24" s="61">
        <f>'SALES SUMMARY'!AH11</f>
        <v>0</v>
      </c>
      <c r="C24" s="61">
        <f>'SALES SUMMARY'!AH14</f>
        <v>211.95359999999999</v>
      </c>
      <c r="D24" s="61">
        <f>'SALES SUMMARY'!AH17</f>
        <v>299.7636</v>
      </c>
      <c r="E24" s="61">
        <f>'SALES SUMMARY'!AH20</f>
        <v>274.91160000000002</v>
      </c>
      <c r="F24" s="61">
        <f>'SALES SUMMARY'!AH23</f>
        <v>466.7604</v>
      </c>
      <c r="G24" s="61">
        <f>'SALES SUMMARY'!AH26</f>
        <v>534.36959999999999</v>
      </c>
      <c r="H24" s="61">
        <f>'SALES SUMMARY'!AH29</f>
        <v>152.46359999999999</v>
      </c>
      <c r="I24" s="61">
        <f>'SALES SUMMARY'!AH32</f>
        <v>0</v>
      </c>
      <c r="J24" s="61">
        <f>'SALES SUMMARY'!AH35</f>
        <v>361.41840000000002</v>
      </c>
      <c r="K24" s="61">
        <f>'SALES SUMMARY'!AH38</f>
        <v>270.09360000000004</v>
      </c>
      <c r="L24" s="61">
        <f>'SALES SUMMARY'!AH41</f>
        <v>496.87919999999997</v>
      </c>
      <c r="M24" s="61">
        <f>'SALES SUMMARY'!AH44</f>
        <v>387.20760000000001</v>
      </c>
      <c r="N24" s="61">
        <f>'SALES SUMMARY'!AH47</f>
        <v>385.51319999999998</v>
      </c>
      <c r="O24" s="61">
        <f>'SALES SUMMARY'!AH50</f>
        <v>103.13159999999999</v>
      </c>
      <c r="P24" s="61">
        <f>'SALES SUMMARY'!AH53</f>
        <v>0</v>
      </c>
      <c r="Q24" s="61">
        <f>'SALES SUMMARY'!AH56</f>
        <v>248.4204</v>
      </c>
      <c r="R24" s="61">
        <f>'SALES SUMMARY'!AH59</f>
        <v>215.14919999999998</v>
      </c>
      <c r="S24" s="61">
        <f>'SALES SUMMARY'!AH62</f>
        <v>243.15960000000001</v>
      </c>
      <c r="T24" s="61">
        <f>'SALES SUMMARY'!AH65</f>
        <v>174.1644</v>
      </c>
      <c r="U24" s="61">
        <f>'SALES SUMMARY'!AH68</f>
        <v>298.4556</v>
      </c>
      <c r="V24" s="61">
        <f>'SALES SUMMARY'!AH71</f>
        <v>72.331199999999995</v>
      </c>
      <c r="W24" s="61">
        <f>'SALES SUMMARY'!AH74</f>
        <v>0</v>
      </c>
      <c r="X24" s="61">
        <f>'SALES SUMMARY'!AH77</f>
        <v>238.75560000000002</v>
      </c>
      <c r="Y24" s="61">
        <f>'SALES SUMMARY'!AH80</f>
        <v>301.08119999999997</v>
      </c>
      <c r="Z24" s="61">
        <f>'SALES SUMMARY'!AH83</f>
        <v>282.16320000000002</v>
      </c>
      <c r="AA24" s="61">
        <f>'SALES SUMMARY'!AH86</f>
        <v>526.55039999999997</v>
      </c>
      <c r="AB24" s="61">
        <f>'SALES SUMMARY'!AH89</f>
        <v>438.92759999999998</v>
      </c>
      <c r="AC24" s="61">
        <f>'SALES SUMMARY'!AH92</f>
        <v>200.69160000000002</v>
      </c>
      <c r="AD24" s="61">
        <f>'SALES SUMMARY'!AH95</f>
        <v>0</v>
      </c>
      <c r="AE24" s="61">
        <f>'SALES SUMMARY'!AH98</f>
        <v>166.53120000000001</v>
      </c>
      <c r="AF24" s="61">
        <f>'SALES SUMMARY'!AH103</f>
        <v>0</v>
      </c>
    </row>
    <row r="25" spans="1:32">
      <c r="A25" s="59" t="s">
        <v>54</v>
      </c>
      <c r="B25" s="61">
        <f>'SALES SUMMARY'!AI11</f>
        <v>0</v>
      </c>
      <c r="C25" s="61">
        <f>'SALES SUMMARY'!AI14</f>
        <v>353.25600000000003</v>
      </c>
      <c r="D25" s="61">
        <f>'SALES SUMMARY'!AI17</f>
        <v>499.60599999999999</v>
      </c>
      <c r="E25" s="61">
        <f>'SALES SUMMARY'!AI20</f>
        <v>458.18600000000004</v>
      </c>
      <c r="F25" s="61">
        <f>'SALES SUMMARY'!AI23</f>
        <v>777.93399999999997</v>
      </c>
      <c r="G25" s="61">
        <f>'SALES SUMMARY'!AI26</f>
        <v>890.61599999999999</v>
      </c>
      <c r="H25" s="61">
        <f>'SALES SUMMARY'!AI29</f>
        <v>254.10599999999999</v>
      </c>
      <c r="I25" s="61">
        <f>'SALES SUMMARY'!AI32</f>
        <v>0</v>
      </c>
      <c r="J25" s="61">
        <f>'SALES SUMMARY'!AI35</f>
        <v>602.36400000000003</v>
      </c>
      <c r="K25" s="61">
        <f>'SALES SUMMARY'!AI38</f>
        <v>450.15600000000006</v>
      </c>
      <c r="L25" s="61">
        <f>'SALES SUMMARY'!AI41</f>
        <v>828.13200000000006</v>
      </c>
      <c r="M25" s="61">
        <f>'SALES SUMMARY'!AI44</f>
        <v>645.346</v>
      </c>
      <c r="N25" s="61">
        <f>'SALES SUMMARY'!AI47</f>
        <v>642.52199999999993</v>
      </c>
      <c r="O25" s="61">
        <f>'SALES SUMMARY'!AI50</f>
        <v>171.886</v>
      </c>
      <c r="P25" s="61">
        <f>'SALES SUMMARY'!AI53</f>
        <v>0</v>
      </c>
      <c r="Q25" s="61">
        <f>'SALES SUMMARY'!AI56</f>
        <v>414.03399999999999</v>
      </c>
      <c r="R25" s="61">
        <f>'SALES SUMMARY'!AI59</f>
        <v>358.58199999999999</v>
      </c>
      <c r="S25" s="61">
        <f>'SALES SUMMARY'!AI62</f>
        <v>405.26600000000008</v>
      </c>
      <c r="T25" s="61">
        <f>'SALES SUMMARY'!AI65</f>
        <v>290.274</v>
      </c>
      <c r="U25" s="61">
        <f>'SALES SUMMARY'!AI68</f>
        <v>497.42600000000004</v>
      </c>
      <c r="V25" s="61">
        <f>'SALES SUMMARY'!AI71</f>
        <v>120.55200000000001</v>
      </c>
      <c r="W25" s="61">
        <f>'SALES SUMMARY'!AI74</f>
        <v>0</v>
      </c>
      <c r="X25" s="61">
        <f>'SALES SUMMARY'!AI77</f>
        <v>397.92600000000004</v>
      </c>
      <c r="Y25" s="61">
        <f>'SALES SUMMARY'!AI80</f>
        <v>501.80200000000002</v>
      </c>
      <c r="Z25" s="61">
        <f>'SALES SUMMARY'!AI83</f>
        <v>470.27200000000005</v>
      </c>
      <c r="AA25" s="61">
        <f>'SALES SUMMARY'!AI86</f>
        <v>877.58400000000006</v>
      </c>
      <c r="AB25" s="61">
        <f>'SALES SUMMARY'!AI89</f>
        <v>731.54600000000005</v>
      </c>
      <c r="AC25" s="61">
        <f>'SALES SUMMARY'!AI92</f>
        <v>334.48600000000005</v>
      </c>
      <c r="AD25" s="61">
        <f>'SALES SUMMARY'!AI95</f>
        <v>0</v>
      </c>
      <c r="AE25" s="61">
        <f>'SALES SUMMARY'!AI98</f>
        <v>277.55200000000002</v>
      </c>
      <c r="AF25" s="61">
        <f>'SALES SUMMARY'!AI103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SUMMARY'!AJ103</f>
        <v>0</v>
      </c>
    </row>
    <row r="27" spans="1:32">
      <c r="A27" s="59" t="s">
        <v>56</v>
      </c>
      <c r="B27" s="61">
        <f>'SALES SUMMARY'!AK11</f>
        <v>0</v>
      </c>
      <c r="C27" s="61">
        <f>'SALES SUMMARY'!AK14</f>
        <v>10889.381214285713</v>
      </c>
      <c r="D27" s="61">
        <f>'SALES SUMMARY'!AK17</f>
        <v>16283.125199999997</v>
      </c>
      <c r="E27" s="61">
        <f>'SALES SUMMARY'!AK20</f>
        <v>25144.339285714283</v>
      </c>
      <c r="F27" s="61">
        <f>'SALES SUMMARY'!AK23</f>
        <v>41950.47321428571</v>
      </c>
      <c r="G27" s="61">
        <f>'SALES SUMMARY'!AK26</f>
        <v>47113.312499999993</v>
      </c>
      <c r="H27" s="61">
        <f>'SALES SUMMARY'!AK29</f>
        <v>13233.419642857139</v>
      </c>
      <c r="I27" s="61">
        <f>'SALES SUMMARY'!AK32</f>
        <v>0</v>
      </c>
      <c r="J27" s="61">
        <f>'SALES SUMMARY'!AK35</f>
        <v>31583.09821428571</v>
      </c>
      <c r="K27" s="61">
        <f>'SALES SUMMARY'!AK38</f>
        <v>23796.28571428571</v>
      </c>
      <c r="L27" s="61">
        <f>'SALES SUMMARY'!AK41</f>
        <v>46379.107142857145</v>
      </c>
      <c r="M27" s="61">
        <f>'SALES SUMMARY'!AK44</f>
        <v>36167.491071428565</v>
      </c>
      <c r="N27" s="61">
        <f>'SALES SUMMARY'!AK47</f>
        <v>35444.607142857138</v>
      </c>
      <c r="O27" s="61">
        <f>'SALES SUMMARY'!AK50</f>
        <v>9116.6428571428551</v>
      </c>
      <c r="P27" s="61">
        <f>'SALES SUMMARY'!AK53</f>
        <v>0</v>
      </c>
      <c r="Q27" s="61">
        <f>'SALES SUMMARY'!AK56</f>
        <v>21939.821428571428</v>
      </c>
      <c r="R27" s="61">
        <f>'SALES SUMMARY'!AK59</f>
        <v>24787.72321428571</v>
      </c>
      <c r="S27" s="61">
        <f>'SALES SUMMARY'!AK62</f>
        <v>22565.517857142855</v>
      </c>
      <c r="T27" s="61">
        <f>'SALES SUMMARY'!AK65</f>
        <v>16249.776785714284</v>
      </c>
      <c r="U27" s="61">
        <f>'SALES SUMMARY'!AK68</f>
        <v>26996.776785714283</v>
      </c>
      <c r="V27" s="61">
        <f>'SALES SUMMARY'!AK71</f>
        <v>6956.2499999999991</v>
      </c>
      <c r="W27" s="61">
        <f>'SALES SUMMARY'!AK74</f>
        <v>0</v>
      </c>
      <c r="X27" s="61">
        <f>'SALES SUMMARY'!AK77</f>
        <v>22114.839285714283</v>
      </c>
      <c r="Y27" s="61">
        <f>'SALES SUMMARY'!AK80</f>
        <v>30296.241071428569</v>
      </c>
      <c r="Z27" s="61">
        <f>'SALES SUMMARY'!AK83</f>
        <v>25602.455357142855</v>
      </c>
      <c r="AA27" s="61">
        <f>'SALES SUMMARY'!AK86</f>
        <v>45609.553571428572</v>
      </c>
      <c r="AB27" s="61">
        <f>'SALES SUMMARY'!AK89</f>
        <v>39765.232142857145</v>
      </c>
      <c r="AC27" s="61">
        <f>'SALES SUMMARY'!AK92</f>
        <v>16732.526785714283</v>
      </c>
      <c r="AD27" s="61">
        <f>'SALES SUMMARY'!AK95</f>
        <v>0</v>
      </c>
      <c r="AE27" s="61">
        <f>'SALES SUMMARY'!AK98</f>
        <v>17044.901785714286</v>
      </c>
      <c r="AF27" s="61">
        <f>'SALES SUMMARY'!AK103</f>
        <v>0</v>
      </c>
    </row>
    <row r="28" spans="1:32">
      <c r="A28" s="59" t="s">
        <v>57</v>
      </c>
      <c r="B28" s="61">
        <f>'SALES SUMMARY'!AM11</f>
        <v>0</v>
      </c>
      <c r="C28" s="61">
        <f>'SALES SUMMARY'!AM14</f>
        <v>1261.3585457142856</v>
      </c>
      <c r="D28" s="61">
        <f>'SALES SUMMARY'!AM17</f>
        <v>1902.0294239999996</v>
      </c>
      <c r="E28" s="61">
        <f>'SALES SUMMARY'!AM20</f>
        <v>2977.1939142857136</v>
      </c>
      <c r="F28" s="61">
        <f>'SALES SUMMARY'!AM23</f>
        <v>4978.2147857142845</v>
      </c>
      <c r="G28" s="61">
        <f>'SALES SUMMARY'!AM26</f>
        <v>5599.6646999999994</v>
      </c>
      <c r="H28" s="61">
        <f>'SALES SUMMARY'!AM29</f>
        <v>1588.0103571428567</v>
      </c>
      <c r="I28" s="61">
        <f>'SALES SUMMARY'!AM32</f>
        <v>0</v>
      </c>
      <c r="J28" s="61">
        <f>'SALES SUMMARY'!AM35</f>
        <v>3746.0349857142855</v>
      </c>
      <c r="K28" s="61">
        <f>'SALES SUMMARY'!AM38</f>
        <v>2824.6818857142853</v>
      </c>
      <c r="L28" s="61">
        <f>'SALES SUMMARY'!AM41</f>
        <v>5529.3644571428567</v>
      </c>
      <c r="M28" s="61">
        <f>'SALES SUMMARY'!AM44</f>
        <v>4304.0173285714282</v>
      </c>
      <c r="N28" s="61">
        <f>'SALES SUMMARY'!AM47</f>
        <v>4226.744057142856</v>
      </c>
      <c r="O28" s="61">
        <f>'SALES SUMMARY'!AM50</f>
        <v>1070.5395428571426</v>
      </c>
      <c r="P28" s="61">
        <f>'SALES SUMMARY'!AM53</f>
        <v>0</v>
      </c>
      <c r="Q28" s="61">
        <f>'SALES SUMMARY'!AM56</f>
        <v>2621.1001714285712</v>
      </c>
      <c r="R28" s="61">
        <f>'SALES SUMMARY'!AM59</f>
        <v>2939.7771857142852</v>
      </c>
      <c r="S28" s="61">
        <f>'SALES SUMMARY'!AM62</f>
        <v>2690.9817428571428</v>
      </c>
      <c r="T28" s="61">
        <f>'SALES SUMMARY'!AM65</f>
        <v>1928.4032142857141</v>
      </c>
      <c r="U28" s="61">
        <f>'SALES SUMMARY'!AM68</f>
        <v>3219.131614285714</v>
      </c>
      <c r="V28" s="61">
        <f>'SALES SUMMARY'!AM71</f>
        <v>830.66999999999985</v>
      </c>
      <c r="W28" s="61">
        <f>'SALES SUMMARY'!AM74</f>
        <v>0</v>
      </c>
      <c r="X28" s="61">
        <f>'SALES SUMMARY'!AM77</f>
        <v>2614.5563142857136</v>
      </c>
      <c r="Y28" s="61">
        <f>'SALES SUMMARY'!AM80</f>
        <v>3574.3489285714281</v>
      </c>
      <c r="Z28" s="61">
        <f>'SALES SUMMARY'!AM83</f>
        <v>3046.3986428571425</v>
      </c>
      <c r="AA28" s="61">
        <f>'SALES SUMMARY'!AM86</f>
        <v>5390.8240285714282</v>
      </c>
      <c r="AB28" s="61">
        <f>'SALES SUMMARY'!AM89</f>
        <v>4718.2922571428571</v>
      </c>
      <c r="AC28" s="61">
        <f>'SALES SUMMARY'!AM92</f>
        <v>2007.9032142857138</v>
      </c>
      <c r="AD28" s="61">
        <f>'SALES SUMMARY'!AM95</f>
        <v>0</v>
      </c>
      <c r="AE28" s="61">
        <f>'SALES SUMMARY'!AM98</f>
        <v>2034.5750142857141</v>
      </c>
      <c r="AF28" s="61">
        <f>'SALES SUMMARY'!AM103</f>
        <v>0</v>
      </c>
    </row>
    <row r="30" spans="1:32">
      <c r="A30" s="58" t="s">
        <v>58</v>
      </c>
      <c r="B30" s="63">
        <f>-'SALES SUMMARY'!AZ11</f>
        <v>0</v>
      </c>
      <c r="C30" s="63">
        <f>-'SALES SUMMARY'!AZ14</f>
        <v>-461</v>
      </c>
      <c r="D30" s="63">
        <f>-'SALES SUMMARY'!AZ17</f>
        <v>-300</v>
      </c>
      <c r="E30" s="63">
        <f>-'SALES SUMMARY'!AZ20</f>
        <v>0</v>
      </c>
      <c r="F30" s="63">
        <f>-'SALES SUMMARY'!AZ23</f>
        <v>-1370</v>
      </c>
      <c r="G30" s="63">
        <f>-'SALES SUMMARY'!AZ26</f>
        <v>0</v>
      </c>
      <c r="H30" s="63">
        <f>-'SALES SUMMARY'!AZ29</f>
        <v>-310</v>
      </c>
      <c r="I30" s="63">
        <f>-'SALES SUMMARY'!AZ32</f>
        <v>0</v>
      </c>
      <c r="J30" s="63">
        <f>-'SALES SUMMARY'!AZ35</f>
        <v>0</v>
      </c>
      <c r="K30" s="63">
        <f>-'SALES SUMMARY'!AZ38</f>
        <v>-265</v>
      </c>
      <c r="L30" s="63">
        <f>-'SALES SUMMARY'!AZ41</f>
        <v>-480</v>
      </c>
      <c r="M30" s="63">
        <f>-'SALES SUMMARY'!AZ44</f>
        <v>-255</v>
      </c>
      <c r="N30" s="63">
        <f>-'SALES SUMMARY'!AZ47</f>
        <v>0</v>
      </c>
      <c r="O30" s="63">
        <f>-'SALES SUMMARY'!AZ50</f>
        <v>0</v>
      </c>
      <c r="P30" s="63">
        <f>-'SALES SUMMARY'!AZ53</f>
        <v>0</v>
      </c>
      <c r="Q30" s="63">
        <f>-'SALES SUMMARY'!AZ56</f>
        <v>-385</v>
      </c>
      <c r="R30" s="63">
        <f>-'SALES SUMMARY'!AZ59</f>
        <v>-185</v>
      </c>
      <c r="S30" s="63">
        <f>-'SALES SUMMARY'!AZ62</f>
        <v>-200</v>
      </c>
      <c r="T30" s="63">
        <f>-'SALES SUMMARY'!AZ65</f>
        <v>-998</v>
      </c>
      <c r="U30" s="63">
        <f>-'SALES SUMMARY'!AZ68</f>
        <v>0</v>
      </c>
      <c r="V30" s="63">
        <f>-'SALES SUMMARY'!AZ71</f>
        <v>-585</v>
      </c>
      <c r="W30" s="63">
        <f>-'SALES SUMMARY'!AZ74</f>
        <v>0</v>
      </c>
      <c r="X30" s="63">
        <f>-'SALES SUMMARY'!AZ77</f>
        <v>-240</v>
      </c>
      <c r="Y30" s="63">
        <f>-'SALES SUMMARY'!AZ80</f>
        <v>-265</v>
      </c>
      <c r="Z30" s="63">
        <f>-'SALES SUMMARY'!AZ83</f>
        <v>-360</v>
      </c>
      <c r="AA30" s="63">
        <f>-'SALES SUMMARY'!AZ86</f>
        <v>0</v>
      </c>
      <c r="AB30" s="63">
        <f>-'SALES SUMMARY'!AZ89</f>
        <v>-510</v>
      </c>
      <c r="AC30" s="63">
        <f>-'SALES SUMMARY'!AZ92</f>
        <v>0</v>
      </c>
      <c r="AD30" s="63">
        <f>-'SALES SUMMARY'!AZ95</f>
        <v>0</v>
      </c>
      <c r="AE30" s="63">
        <f>-'SALES SUMMARY'!AZ98</f>
        <v>0</v>
      </c>
      <c r="AF30" s="63">
        <f>-'SALES SUMMARY'!AZ103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-870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-135</v>
      </c>
      <c r="L31" s="63">
        <f>-'SALES SUMMARY'!BA41</f>
        <v>0</v>
      </c>
      <c r="M31" s="63">
        <f>-'SALES SUMMARY'!BA44</f>
        <v>-245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-760</v>
      </c>
      <c r="R31" s="63">
        <f>-'SALES SUMMARY'!BA59</f>
        <v>0</v>
      </c>
      <c r="S31" s="63">
        <f>-'SALES SUMMARY'!BA62</f>
        <v>-550</v>
      </c>
      <c r="T31" s="63">
        <f>-'SALES SUMMARY'!BA65</f>
        <v>-65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SUMMARY'!BA103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SUMMARY'!BB103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SUMMARY'!BD103-'SALES SUMMARY'!BC103)</f>
        <v>0</v>
      </c>
    </row>
    <row r="34" spans="1:32">
      <c r="A34" s="58" t="s">
        <v>36</v>
      </c>
      <c r="B34" s="63">
        <f>'SALES SUMMARY'!BR11</f>
        <v>0</v>
      </c>
      <c r="C34" s="63">
        <f>'SALES SUMMARY'!BR14</f>
        <v>461</v>
      </c>
      <c r="D34" s="63">
        <f>'SALES SUMMARY'!BR17</f>
        <v>300</v>
      </c>
      <c r="E34" s="63">
        <f>'SALES SUMMARY'!BR20</f>
        <v>0</v>
      </c>
      <c r="F34" s="63">
        <f>'SALES SUMMARY'!BR23</f>
        <v>1370</v>
      </c>
      <c r="G34" s="63">
        <f>'SALES SUMMARY'!BR26</f>
        <v>870</v>
      </c>
      <c r="H34" s="63">
        <f>'SALES SUMMARY'!BR29</f>
        <v>310</v>
      </c>
      <c r="I34" s="63">
        <f>'SALES SUMMARY'!BR32</f>
        <v>0</v>
      </c>
      <c r="J34" s="63">
        <f>'SALES SUMMARY'!BR35</f>
        <v>0</v>
      </c>
      <c r="K34" s="63">
        <f>'SALES SUMMARY'!BR38</f>
        <v>400</v>
      </c>
      <c r="L34" s="63">
        <f>'SALES SUMMARY'!BR41</f>
        <v>480</v>
      </c>
      <c r="M34" s="63">
        <f>'SALES SUMMARY'!BR44</f>
        <v>500</v>
      </c>
      <c r="N34" s="63">
        <f>'SALES SUMMARY'!BR47</f>
        <v>0</v>
      </c>
      <c r="O34" s="63">
        <f>'SALES SUMMARY'!BR50</f>
        <v>0</v>
      </c>
      <c r="P34" s="63">
        <f>'SALES SUMMARY'!BR53</f>
        <v>0</v>
      </c>
      <c r="Q34" s="63">
        <f>'SALES SUMMARY'!BR56</f>
        <v>1145</v>
      </c>
      <c r="R34" s="63">
        <f>'SALES SUMMARY'!BR59</f>
        <v>185</v>
      </c>
      <c r="S34" s="63">
        <f>'SALES SUMMARY'!BR62</f>
        <v>750</v>
      </c>
      <c r="T34" s="63">
        <f>'SALES SUMMARY'!BR65</f>
        <v>1063</v>
      </c>
      <c r="U34" s="63">
        <f>'SALES SUMMARY'!BR68</f>
        <v>0</v>
      </c>
      <c r="V34" s="63">
        <f>'SALES SUMMARY'!BR71</f>
        <v>585</v>
      </c>
      <c r="W34" s="63">
        <f>'SALES SUMMARY'!BR74</f>
        <v>0</v>
      </c>
      <c r="X34" s="63">
        <f>'SALES SUMMARY'!BR77</f>
        <v>240</v>
      </c>
      <c r="Y34" s="63">
        <f>'SALES SUMMARY'!BR80</f>
        <v>265</v>
      </c>
      <c r="Z34" s="63">
        <f>'SALES SUMMARY'!BR83</f>
        <v>360</v>
      </c>
      <c r="AA34" s="63">
        <f>'SALES SUMMARY'!BR86</f>
        <v>0</v>
      </c>
      <c r="AB34" s="63">
        <f>'SALES SUMMARY'!BR89</f>
        <v>510</v>
      </c>
      <c r="AC34" s="63">
        <f>'SALES SUMMARY'!BR92</f>
        <v>0</v>
      </c>
      <c r="AD34" s="63">
        <f>'SALES SUMMARY'!BR95</f>
        <v>0</v>
      </c>
      <c r="AE34" s="63">
        <f>'SALES SUMMARY'!BR98</f>
        <v>0</v>
      </c>
      <c r="AF34" s="63">
        <f>'SALES SUMMARY'!BR103</f>
        <v>0</v>
      </c>
    </row>
    <row r="36" spans="1:32">
      <c r="A36" s="58" t="s">
        <v>62</v>
      </c>
      <c r="B36" s="62">
        <f>SUM(B5:B35)-B3</f>
        <v>0</v>
      </c>
      <c r="C36" s="62">
        <f t="shared" ref="C36:AF36" si="0">SUM(C5:C35)-C3</f>
        <v>-9474.9802400000008</v>
      </c>
      <c r="D36" s="62">
        <f t="shared" si="0"/>
        <v>-10041.035376000003</v>
      </c>
      <c r="E36" s="62">
        <f t="shared" si="0"/>
        <v>294.26319999999396</v>
      </c>
      <c r="F36" s="62">
        <f t="shared" si="0"/>
        <v>409.50799999999435</v>
      </c>
      <c r="G36" s="62">
        <f t="shared" si="0"/>
        <v>395.50719999999274</v>
      </c>
      <c r="H36" s="62">
        <f t="shared" si="0"/>
        <v>0</v>
      </c>
      <c r="I36" s="62">
        <f t="shared" si="0"/>
        <v>0</v>
      </c>
      <c r="J36" s="62">
        <f t="shared" si="0"/>
        <v>9322.2031999999963</v>
      </c>
      <c r="K36" s="62">
        <f t="shared" si="0"/>
        <v>226.3975999999966</v>
      </c>
      <c r="L36" s="62">
        <f t="shared" si="0"/>
        <v>264.94160000000556</v>
      </c>
      <c r="M36" s="62">
        <f t="shared" si="0"/>
        <v>264.59839999999531</v>
      </c>
      <c r="N36" s="62">
        <f t="shared" si="0"/>
        <v>347.38119999999617</v>
      </c>
      <c r="O36" s="62">
        <f t="shared" si="0"/>
        <v>172.02239999999802</v>
      </c>
      <c r="P36" s="62">
        <f t="shared" si="0"/>
        <v>0</v>
      </c>
      <c r="Q36" s="62">
        <f t="shared" si="0"/>
        <v>86.641599999995378</v>
      </c>
      <c r="R36" s="62">
        <f t="shared" si="0"/>
        <v>254.83039999999892</v>
      </c>
      <c r="S36" s="62">
        <f t="shared" si="0"/>
        <v>124.25960000000123</v>
      </c>
      <c r="T36" s="62">
        <f t="shared" si="0"/>
        <v>158.17999999999665</v>
      </c>
      <c r="U36" s="62">
        <f t="shared" si="0"/>
        <v>147.53840000000127</v>
      </c>
      <c r="V36" s="62">
        <f t="shared" si="0"/>
        <v>29.919999999999163</v>
      </c>
      <c r="W36" s="62">
        <f t="shared" si="0"/>
        <v>0</v>
      </c>
      <c r="X36" s="62">
        <f t="shared" si="0"/>
        <v>287.64559999999619</v>
      </c>
      <c r="Y36" s="62">
        <f t="shared" si="0"/>
        <v>448.79999999999927</v>
      </c>
      <c r="Z36" s="62" t="e">
        <f t="shared" si="0"/>
        <v>#VALUE!</v>
      </c>
      <c r="AA36" s="62">
        <f t="shared" si="0"/>
        <v>15003.6976</v>
      </c>
      <c r="AB36" s="62">
        <f t="shared" si="0"/>
        <v>392.59440000000177</v>
      </c>
      <c r="AC36" s="62">
        <f t="shared" si="0"/>
        <v>14399.999999999996</v>
      </c>
      <c r="AD36" s="62">
        <f t="shared" si="0"/>
        <v>0</v>
      </c>
      <c r="AE36" s="62">
        <f t="shared" si="0"/>
        <v>79.346800000002986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74"/>
  <sheetViews>
    <sheetView topLeftCell="A4" zoomScaleSheetLayoutView="85" workbookViewId="0">
      <selection activeCell="H46" sqref="H46"/>
    </sheetView>
  </sheetViews>
  <sheetFormatPr defaultColWidth="9.109375" defaultRowHeight="13.2"/>
  <cols>
    <col min="1" max="1" width="12.88671875" style="75" customWidth="1"/>
    <col min="2" max="2" width="6.33203125" style="75" customWidth="1"/>
    <col min="3" max="4" width="13.109375" style="75" customWidth="1"/>
    <col min="5" max="5" width="13.5546875" style="75" customWidth="1"/>
    <col min="6" max="6" width="13.33203125" style="75" customWidth="1"/>
    <col min="7" max="7" width="10.33203125" style="75" bestFit="1" customWidth="1"/>
    <col min="8" max="8" width="9.33203125" style="75" bestFit="1" customWidth="1"/>
    <col min="9" max="9" width="12.88671875" style="75" customWidth="1"/>
    <col min="10" max="10" width="7.33203125" style="75" customWidth="1"/>
    <col min="11" max="11" width="15.109375" style="75" customWidth="1"/>
    <col min="12" max="12" width="16.88671875" style="75" customWidth="1"/>
    <col min="13" max="13" width="13.5546875" style="75" customWidth="1"/>
    <col min="14" max="14" width="13.33203125" style="75" customWidth="1"/>
    <col min="15" max="16384" width="9.109375" style="75"/>
  </cols>
  <sheetData>
    <row r="1" spans="1:15" ht="15.6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6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6">
      <c r="A3" s="74" t="s">
        <v>148</v>
      </c>
      <c r="B3" s="72"/>
      <c r="C3" s="72"/>
      <c r="D3" s="72"/>
      <c r="E3" s="72"/>
      <c r="F3" s="72"/>
      <c r="I3" s="74" t="s">
        <v>149</v>
      </c>
      <c r="J3" s="72"/>
      <c r="K3" s="72"/>
      <c r="L3" s="72"/>
      <c r="M3" s="72"/>
      <c r="N3" s="72"/>
    </row>
    <row r="4" spans="1:15" ht="13.8" thickBot="1"/>
    <row r="5" spans="1:15" ht="13.5" customHeight="1" thickTop="1">
      <c r="A5" s="233" t="s">
        <v>2</v>
      </c>
      <c r="B5" s="227" t="s">
        <v>3</v>
      </c>
      <c r="C5" s="227" t="s">
        <v>71</v>
      </c>
      <c r="D5" s="229" t="s">
        <v>29</v>
      </c>
      <c r="E5" s="230"/>
      <c r="F5" s="231" t="s">
        <v>72</v>
      </c>
      <c r="I5" s="233" t="s">
        <v>2</v>
      </c>
      <c r="J5" s="227" t="s">
        <v>3</v>
      </c>
      <c r="K5" s="227" t="s">
        <v>71</v>
      </c>
      <c r="L5" s="229" t="s">
        <v>29</v>
      </c>
      <c r="M5" s="230"/>
      <c r="N5" s="231" t="s">
        <v>73</v>
      </c>
    </row>
    <row r="6" spans="1:15" ht="27" thickBot="1">
      <c r="A6" s="234"/>
      <c r="B6" s="228"/>
      <c r="C6" s="228"/>
      <c r="D6" s="76" t="s">
        <v>74</v>
      </c>
      <c r="E6" s="76" t="s">
        <v>75</v>
      </c>
      <c r="F6" s="232"/>
      <c r="I6" s="234"/>
      <c r="J6" s="228"/>
      <c r="K6" s="228"/>
      <c r="L6" s="76" t="s">
        <v>74</v>
      </c>
      <c r="M6" s="76" t="s">
        <v>75</v>
      </c>
      <c r="N6" s="232"/>
    </row>
    <row r="7" spans="1:15" ht="13.8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25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25">
        <v>42354</v>
      </c>
      <c r="J8" s="79" t="s">
        <v>43</v>
      </c>
      <c r="K8" s="80">
        <f>+'SALES SUMMARY'!AF54</f>
        <v>978.12</v>
      </c>
      <c r="L8" s="81">
        <f>(K8*0.8)*0.85</f>
        <v>665.12160000000006</v>
      </c>
      <c r="M8" s="81">
        <f>(K8*0.8)*0.15</f>
        <v>117.37440000000001</v>
      </c>
      <c r="N8" s="82">
        <f>K8*0.2</f>
        <v>195.62400000000002</v>
      </c>
      <c r="O8" s="81"/>
    </row>
    <row r="9" spans="1:15" ht="13.8" thickBot="1">
      <c r="A9" s="226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26"/>
      <c r="J9" s="83" t="s">
        <v>44</v>
      </c>
      <c r="K9" s="80">
        <f>+'SALES SUMMARY'!AF55</f>
        <v>1092.05</v>
      </c>
      <c r="L9" s="81">
        <f>(K9*0.8)*0.85</f>
        <v>742.59399999999994</v>
      </c>
      <c r="M9" s="81">
        <f>(K9*0.8)*0.15</f>
        <v>131.04599999999999</v>
      </c>
      <c r="N9" s="82">
        <f>K9*0.2</f>
        <v>218.41</v>
      </c>
    </row>
    <row r="10" spans="1:15" ht="13.8" thickBot="1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2070.17</v>
      </c>
      <c r="L10" s="86">
        <f>+L9+L8</f>
        <v>1407.7156</v>
      </c>
      <c r="M10" s="86">
        <f>+M9+M8</f>
        <v>248.4204</v>
      </c>
      <c r="N10" s="87">
        <f>+N9+N8</f>
        <v>414.03399999999999</v>
      </c>
    </row>
    <row r="11" spans="1:15">
      <c r="A11" s="225">
        <f>+A8+1</f>
        <v>42340</v>
      </c>
      <c r="B11" s="83"/>
      <c r="C11" s="80">
        <f>+'SALES SUMMARY'!AF12</f>
        <v>864.68</v>
      </c>
      <c r="D11" s="81">
        <f>(C11*0.8)*0.85</f>
        <v>587.98239999999998</v>
      </c>
      <c r="E11" s="81">
        <f>(C11*0.8)*0.15</f>
        <v>103.7616</v>
      </c>
      <c r="F11" s="82">
        <f>C11*0.2</f>
        <v>172.93600000000001</v>
      </c>
      <c r="I11" s="123">
        <f>+I8+1</f>
        <v>42355</v>
      </c>
      <c r="J11" s="83"/>
      <c r="K11" s="80">
        <f>+'SALES SUMMARY'!AF57</f>
        <v>1179.52</v>
      </c>
      <c r="L11" s="81">
        <f>(K11*0.8)*0.85</f>
        <v>802.07359999999994</v>
      </c>
      <c r="M11" s="81">
        <f>(K11*0.8)*0.15</f>
        <v>141.54239999999999</v>
      </c>
      <c r="N11" s="82">
        <f>K11*0.2</f>
        <v>235.904</v>
      </c>
    </row>
    <row r="12" spans="1:15" ht="13.8" thickBot="1">
      <c r="A12" s="226"/>
      <c r="B12" s="83"/>
      <c r="C12" s="80">
        <f>+'SALES SUMMARY'!AF13</f>
        <v>901.6</v>
      </c>
      <c r="D12" s="81">
        <f>(C12*0.8)*0.85</f>
        <v>613.08800000000008</v>
      </c>
      <c r="E12" s="81">
        <f>(C12*0.8)*0.15</f>
        <v>108.19200000000001</v>
      </c>
      <c r="F12" s="82">
        <f>C12*0.2</f>
        <v>180.32000000000002</v>
      </c>
      <c r="I12" s="124"/>
      <c r="J12" s="83"/>
      <c r="K12" s="80">
        <f>+'SALES SUMMARY'!AF58</f>
        <v>613.39</v>
      </c>
      <c r="L12" s="81">
        <f>(K12*0.8)*0.85</f>
        <v>417.10519999999997</v>
      </c>
      <c r="M12" s="81">
        <f>(K12*0.8)*0.15</f>
        <v>73.606799999999993</v>
      </c>
      <c r="N12" s="82">
        <f>K12*0.2</f>
        <v>122.678</v>
      </c>
    </row>
    <row r="13" spans="1:15" ht="13.8" thickBot="1">
      <c r="A13" s="126"/>
      <c r="B13" s="84"/>
      <c r="C13" s="85">
        <f>+C12+C11</f>
        <v>1766.28</v>
      </c>
      <c r="D13" s="86">
        <f>+D12+D11</f>
        <v>1201.0704000000001</v>
      </c>
      <c r="E13" s="86">
        <f>+E12+E11</f>
        <v>211.95359999999999</v>
      </c>
      <c r="F13" s="87">
        <f>+F12+F11</f>
        <v>353.25600000000003</v>
      </c>
      <c r="I13" s="126"/>
      <c r="J13" s="84"/>
      <c r="K13" s="85">
        <f>+K12+K11</f>
        <v>1792.9099999999999</v>
      </c>
      <c r="L13" s="86">
        <f>+L12+L11</f>
        <v>1219.1787999999999</v>
      </c>
      <c r="M13" s="86">
        <f>+M12+M11</f>
        <v>215.14919999999998</v>
      </c>
      <c r="N13" s="87">
        <f>+N12+N11</f>
        <v>358.58199999999999</v>
      </c>
    </row>
    <row r="14" spans="1:15">
      <c r="A14" s="225">
        <f>+A11+1</f>
        <v>42341</v>
      </c>
      <c r="B14" s="83"/>
      <c r="C14" s="80">
        <f>+'SALES SUMMARY'!AF15</f>
        <v>1504.99</v>
      </c>
      <c r="D14" s="81">
        <f>(C14*0.8)*0.85</f>
        <v>1023.3932</v>
      </c>
      <c r="E14" s="81">
        <f>(C14*0.8)*0.15</f>
        <v>180.59879999999998</v>
      </c>
      <c r="F14" s="82">
        <f>C14*0.2</f>
        <v>300.99799999999999</v>
      </c>
      <c r="I14" s="123">
        <f>+I11+1</f>
        <v>42356</v>
      </c>
      <c r="J14" s="83"/>
      <c r="K14" s="80">
        <f>+'SALES SUMMARY'!AF60</f>
        <v>828.7</v>
      </c>
      <c r="L14" s="81">
        <f>(K14*0.8)*0.85</f>
        <v>563.51599999999996</v>
      </c>
      <c r="M14" s="81">
        <f>(K14*0.8)*0.15</f>
        <v>99.444000000000003</v>
      </c>
      <c r="N14" s="82">
        <f>K14*0.2</f>
        <v>165.74</v>
      </c>
    </row>
    <row r="15" spans="1:15" ht="13.8" thickBot="1">
      <c r="A15" s="226"/>
      <c r="B15" s="83"/>
      <c r="C15" s="80">
        <f>+'SALES SUMMARY'!AF16</f>
        <v>993.04</v>
      </c>
      <c r="D15" s="81">
        <f>(C15*0.8)*0.85</f>
        <v>675.2672</v>
      </c>
      <c r="E15" s="81">
        <f>(C15*0.8)*0.15</f>
        <v>119.1648</v>
      </c>
      <c r="F15" s="82">
        <f>C15*0.2</f>
        <v>198.608</v>
      </c>
      <c r="I15" s="124"/>
      <c r="J15" s="83"/>
      <c r="K15" s="80">
        <f>+'SALES SUMMARY'!AF61</f>
        <v>1197.6300000000001</v>
      </c>
      <c r="L15" s="81">
        <f>(K15*0.8)*0.85</f>
        <v>814.38840000000016</v>
      </c>
      <c r="M15" s="81">
        <f>(K15*0.8)*0.15</f>
        <v>143.71560000000002</v>
      </c>
      <c r="N15" s="82">
        <f>K15*0.2</f>
        <v>239.52600000000004</v>
      </c>
    </row>
    <row r="16" spans="1:15" ht="13.8" thickBot="1">
      <c r="A16" s="127"/>
      <c r="B16" s="84"/>
      <c r="C16" s="85">
        <f>+C15+C14</f>
        <v>2498.0299999999997</v>
      </c>
      <c r="D16" s="86">
        <f>+D15+D14</f>
        <v>1698.6604</v>
      </c>
      <c r="E16" s="86">
        <f>+E15+E14</f>
        <v>299.7636</v>
      </c>
      <c r="F16" s="87">
        <f>+F15+F14</f>
        <v>499.60599999999999</v>
      </c>
      <c r="I16" s="127"/>
      <c r="J16" s="84"/>
      <c r="K16" s="85">
        <f>+K15+K14</f>
        <v>2026.3300000000002</v>
      </c>
      <c r="L16" s="86">
        <f>+L15+L14</f>
        <v>1377.9044000000001</v>
      </c>
      <c r="M16" s="86">
        <f>+M15+M14</f>
        <v>243.15960000000001</v>
      </c>
      <c r="N16" s="87">
        <f>+N15+N14</f>
        <v>405.26600000000008</v>
      </c>
    </row>
    <row r="17" spans="1:14">
      <c r="A17" s="225">
        <f>+A14+1</f>
        <v>42342</v>
      </c>
      <c r="B17" s="83"/>
      <c r="C17" s="80">
        <f>+'SALES SUMMARY'!AF18</f>
        <v>1380.9</v>
      </c>
      <c r="D17" s="81">
        <f>(C17*0.8)*0.85</f>
        <v>939.01199999999994</v>
      </c>
      <c r="E17" s="81">
        <f>(C17*0.8)*0.15</f>
        <v>165.708</v>
      </c>
      <c r="F17" s="82">
        <f>C17*0.2</f>
        <v>276.18</v>
      </c>
      <c r="I17" s="123">
        <f>+I14+1</f>
        <v>42357</v>
      </c>
      <c r="J17" s="83"/>
      <c r="K17" s="80">
        <f>+'SALES SUMMARY'!AF63</f>
        <v>682.76</v>
      </c>
      <c r="L17" s="81">
        <f>(K17*0.8)*0.85</f>
        <v>464.27679999999998</v>
      </c>
      <c r="M17" s="81">
        <f>(K17*0.8)*0.15</f>
        <v>81.93119999999999</v>
      </c>
      <c r="N17" s="82">
        <f>K17*0.2</f>
        <v>136.55199999999999</v>
      </c>
    </row>
    <row r="18" spans="1:14" ht="13.8" thickBot="1">
      <c r="A18" s="226"/>
      <c r="B18" s="83"/>
      <c r="C18" s="80">
        <f>+'SALES SUMMARY'!AF19</f>
        <v>910.03</v>
      </c>
      <c r="D18" s="81">
        <f>(C18*0.8)*0.85</f>
        <v>618.82039999999995</v>
      </c>
      <c r="E18" s="81">
        <f>(C18*0.8)*0.15</f>
        <v>109.20359999999999</v>
      </c>
      <c r="F18" s="82">
        <f>C18*0.2</f>
        <v>182.006</v>
      </c>
      <c r="I18" s="124"/>
      <c r="J18" s="83"/>
      <c r="K18" s="80">
        <f>+'SALES SUMMARY'!AF64</f>
        <v>768.61</v>
      </c>
      <c r="L18" s="81">
        <f>(K18*0.8)*0.85</f>
        <v>522.65480000000002</v>
      </c>
      <c r="M18" s="81">
        <f>(K18*0.8)*0.15</f>
        <v>92.233199999999997</v>
      </c>
      <c r="N18" s="82">
        <f>K18*0.2</f>
        <v>153.72200000000001</v>
      </c>
    </row>
    <row r="19" spans="1:14" ht="13.8" thickBot="1">
      <c r="A19" s="127"/>
      <c r="B19" s="84"/>
      <c r="C19" s="85">
        <f>+C18+C17</f>
        <v>2290.9300000000003</v>
      </c>
      <c r="D19" s="86">
        <f>+D18+D17</f>
        <v>1557.8323999999998</v>
      </c>
      <c r="E19" s="86">
        <f>+E18+E17</f>
        <v>274.91160000000002</v>
      </c>
      <c r="F19" s="87">
        <f>+F18+F17</f>
        <v>458.18600000000004</v>
      </c>
      <c r="I19" s="127"/>
      <c r="J19" s="84"/>
      <c r="K19" s="85">
        <f>+K18+K17</f>
        <v>1451.37</v>
      </c>
      <c r="L19" s="86">
        <f>+L18+L17</f>
        <v>986.9316</v>
      </c>
      <c r="M19" s="86">
        <f>+M18+M17</f>
        <v>174.1644</v>
      </c>
      <c r="N19" s="87">
        <f>+N18+N17</f>
        <v>290.274</v>
      </c>
    </row>
    <row r="20" spans="1:14">
      <c r="A20" s="225">
        <f>+A17+1</f>
        <v>42343</v>
      </c>
      <c r="B20" s="83"/>
      <c r="C20" s="80">
        <f>+'SALES SUMMARY'!AF21</f>
        <v>1873.62</v>
      </c>
      <c r="D20" s="81">
        <f>(C20*0.8)*0.85</f>
        <v>1274.0616</v>
      </c>
      <c r="E20" s="81">
        <f>(C20*0.8)*0.15</f>
        <v>224.83439999999999</v>
      </c>
      <c r="F20" s="82">
        <f>C20*0.2</f>
        <v>374.72399999999999</v>
      </c>
      <c r="I20" s="123">
        <f>+I17+1</f>
        <v>42358</v>
      </c>
      <c r="J20" s="83"/>
      <c r="K20" s="80">
        <f>+'SALES SUMMARY'!AF66</f>
        <v>756.34</v>
      </c>
      <c r="L20" s="81">
        <f>(K20*0.8)*0.85</f>
        <v>514.31119999999999</v>
      </c>
      <c r="M20" s="81">
        <f>(K20*0.8)*0.15</f>
        <v>90.760800000000003</v>
      </c>
      <c r="N20" s="82">
        <f>K20*0.2</f>
        <v>151.268</v>
      </c>
    </row>
    <row r="21" spans="1:14" ht="13.8" thickBot="1">
      <c r="A21" s="226"/>
      <c r="B21" s="83"/>
      <c r="C21" s="80">
        <f>+'SALES SUMMARY'!AF22</f>
        <v>2016.05</v>
      </c>
      <c r="D21" s="81">
        <f>(C21*0.8)*0.85</f>
        <v>1370.914</v>
      </c>
      <c r="E21" s="81">
        <f>(C21*0.8)*0.15</f>
        <v>241.92600000000002</v>
      </c>
      <c r="F21" s="82">
        <f>C21*0.2</f>
        <v>403.21000000000004</v>
      </c>
      <c r="I21" s="124"/>
      <c r="J21" s="83"/>
      <c r="K21" s="80">
        <f>+'SALES SUMMARY'!AF67</f>
        <v>1730.79</v>
      </c>
      <c r="L21" s="81">
        <f>(K21*0.8)*0.85</f>
        <v>1176.9372000000001</v>
      </c>
      <c r="M21" s="81">
        <f>(K21*0.8)*0.15</f>
        <v>207.69480000000001</v>
      </c>
      <c r="N21" s="82">
        <f>K21*0.2</f>
        <v>346.15800000000002</v>
      </c>
    </row>
    <row r="22" spans="1:14" ht="13.8" thickBot="1">
      <c r="A22" s="127"/>
      <c r="B22" s="84"/>
      <c r="C22" s="85">
        <f>+C21+C20</f>
        <v>3889.67</v>
      </c>
      <c r="D22" s="86">
        <f>+D21+D20</f>
        <v>2644.9755999999998</v>
      </c>
      <c r="E22" s="86">
        <f>+E21+E20</f>
        <v>466.7604</v>
      </c>
      <c r="F22" s="87">
        <f>+F21+F20</f>
        <v>777.93399999999997</v>
      </c>
      <c r="I22" s="127"/>
      <c r="J22" s="84"/>
      <c r="K22" s="85">
        <f>+K21+K20</f>
        <v>2487.13</v>
      </c>
      <c r="L22" s="86">
        <f>+L21+L20</f>
        <v>1691.2483999999999</v>
      </c>
      <c r="M22" s="86">
        <f>+M21+M20</f>
        <v>298.4556</v>
      </c>
      <c r="N22" s="87">
        <f>+N21+N20</f>
        <v>497.42600000000004</v>
      </c>
    </row>
    <row r="23" spans="1:14">
      <c r="A23" s="225">
        <f>+A20+1</f>
        <v>42344</v>
      </c>
      <c r="B23" s="83"/>
      <c r="C23" s="80">
        <f>+'SALES SUMMARY'!AF24</f>
        <v>3102.7</v>
      </c>
      <c r="D23" s="81">
        <f>(C23*0.8)*0.85</f>
        <v>2109.8359999999998</v>
      </c>
      <c r="E23" s="81">
        <f>(C23*0.8)*0.15</f>
        <v>372.32399999999996</v>
      </c>
      <c r="F23" s="82">
        <f>C23*0.2</f>
        <v>620.54</v>
      </c>
      <c r="I23" s="123">
        <f>+I20+1</f>
        <v>42359</v>
      </c>
      <c r="J23" s="83"/>
      <c r="K23" s="80">
        <f>+'SALES SUMMARY'!AF69</f>
        <v>0</v>
      </c>
      <c r="L23" s="81">
        <f>(K23*0.8)*0.85</f>
        <v>0</v>
      </c>
      <c r="M23" s="81">
        <f>(K23*0.8)*0.15</f>
        <v>0</v>
      </c>
      <c r="N23" s="82">
        <f>K23*0.2</f>
        <v>0</v>
      </c>
    </row>
    <row r="24" spans="1:14" ht="13.8" thickBot="1">
      <c r="A24" s="226"/>
      <c r="B24" s="83"/>
      <c r="C24" s="80">
        <f>+'SALES SUMMARY'!AF25</f>
        <v>1350.38</v>
      </c>
      <c r="D24" s="81">
        <f>(C24*0.8)*0.85</f>
        <v>918.25840000000005</v>
      </c>
      <c r="E24" s="81">
        <f>(C24*0.8)*0.15</f>
        <v>162.04560000000001</v>
      </c>
      <c r="F24" s="82">
        <f>C24*0.2</f>
        <v>270.07600000000002</v>
      </c>
      <c r="I24" s="124"/>
      <c r="J24" s="83"/>
      <c r="K24" s="80">
        <f>+'SALES SUMMARY'!AF70</f>
        <v>602.76</v>
      </c>
      <c r="L24" s="81">
        <f>(K24*0.8)*0.85</f>
        <v>409.8768</v>
      </c>
      <c r="M24" s="81">
        <f>(K24*0.8)*0.15</f>
        <v>72.331199999999995</v>
      </c>
      <c r="N24" s="82">
        <f>K24*0.2</f>
        <v>120.55200000000001</v>
      </c>
    </row>
    <row r="25" spans="1:14" ht="13.8" thickBot="1">
      <c r="A25" s="127"/>
      <c r="B25" s="84"/>
      <c r="C25" s="85">
        <f>+C24+C23</f>
        <v>4453.08</v>
      </c>
      <c r="D25" s="86">
        <f>+D24+D23</f>
        <v>3028.0944</v>
      </c>
      <c r="E25" s="86">
        <f>+E24+E23</f>
        <v>534.36959999999999</v>
      </c>
      <c r="F25" s="87">
        <f>+F24+F23</f>
        <v>890.61599999999999</v>
      </c>
      <c r="G25" s="128"/>
      <c r="I25" s="127"/>
      <c r="J25" s="84"/>
      <c r="K25" s="85">
        <f>+K24+K23</f>
        <v>602.76</v>
      </c>
      <c r="L25" s="86">
        <f>+L24+L23</f>
        <v>409.8768</v>
      </c>
      <c r="M25" s="86">
        <f>+M24+M23</f>
        <v>72.331199999999995</v>
      </c>
      <c r="N25" s="87">
        <f>+N24+N23</f>
        <v>120.55200000000001</v>
      </c>
    </row>
    <row r="26" spans="1:14">
      <c r="A26" s="225">
        <f>+A23+1</f>
        <v>42345</v>
      </c>
      <c r="B26" s="83"/>
      <c r="C26" s="80">
        <f>+'SALES SUMMARY'!AF27</f>
        <v>0</v>
      </c>
      <c r="D26" s="81">
        <f>(C26*0.8)*0.85</f>
        <v>0</v>
      </c>
      <c r="E26" s="81">
        <f>(C26*0.8)*0.15</f>
        <v>0</v>
      </c>
      <c r="F26" s="82">
        <f>C26*0.2</f>
        <v>0</v>
      </c>
      <c r="I26" s="123">
        <f>+I23+1</f>
        <v>42360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8" thickBot="1">
      <c r="A27" s="226"/>
      <c r="B27" s="83"/>
      <c r="C27" s="80">
        <f>+'SALES SUMMARY'!AF28</f>
        <v>1270.53</v>
      </c>
      <c r="D27" s="81">
        <f>(C27*0.8)*0.85</f>
        <v>863.96039999999994</v>
      </c>
      <c r="E27" s="81">
        <f>(C27*0.8)*0.15</f>
        <v>152.46359999999999</v>
      </c>
      <c r="F27" s="82">
        <f>C27*0.2</f>
        <v>254.10599999999999</v>
      </c>
      <c r="I27" s="124"/>
      <c r="J27" s="83"/>
      <c r="K27" s="80">
        <f>+'SALES SUMMARY'!AF73</f>
        <v>0</v>
      </c>
      <c r="L27" s="81">
        <f>(K27*0.8)*0.85</f>
        <v>0</v>
      </c>
      <c r="M27" s="81">
        <f>(K27*0.8)*0.15</f>
        <v>0</v>
      </c>
      <c r="N27" s="82">
        <f>K27*0.2</f>
        <v>0</v>
      </c>
    </row>
    <row r="28" spans="1:14" ht="13.8" thickBot="1">
      <c r="A28" s="127"/>
      <c r="B28" s="84"/>
      <c r="C28" s="85">
        <f>+C27+C26</f>
        <v>1270.53</v>
      </c>
      <c r="D28" s="86">
        <f>+D27+D26</f>
        <v>863.96039999999994</v>
      </c>
      <c r="E28" s="86">
        <f>+E27+E26</f>
        <v>152.46359999999999</v>
      </c>
      <c r="F28" s="87">
        <f>+F27+F26</f>
        <v>254.10599999999999</v>
      </c>
      <c r="I28" s="127"/>
      <c r="J28" s="84"/>
      <c r="K28" s="85">
        <f>+K27+K26</f>
        <v>0</v>
      </c>
      <c r="L28" s="86">
        <f>+L27+L26</f>
        <v>0</v>
      </c>
      <c r="M28" s="86">
        <f>+M27+M26</f>
        <v>0</v>
      </c>
      <c r="N28" s="87">
        <f>+N27+N26</f>
        <v>0</v>
      </c>
    </row>
    <row r="29" spans="1:14">
      <c r="A29" s="225">
        <f>+A26+1</f>
        <v>42346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42361</v>
      </c>
      <c r="J29" s="83"/>
      <c r="K29" s="80">
        <f>+'SALES SUMMARY'!AF75</f>
        <v>1091.44</v>
      </c>
      <c r="L29" s="81">
        <f>(K29*0.8)*0.85</f>
        <v>742.17920000000004</v>
      </c>
      <c r="M29" s="81">
        <f>(K29*0.8)*0.15</f>
        <v>130.97280000000001</v>
      </c>
      <c r="N29" s="82">
        <f>K29*0.2</f>
        <v>218.28800000000001</v>
      </c>
    </row>
    <row r="30" spans="1:14" ht="13.8" thickBot="1">
      <c r="A30" s="226"/>
      <c r="B30" s="83"/>
      <c r="C30" s="80">
        <f>+'SALES SUMMARY'!AF31</f>
        <v>0</v>
      </c>
      <c r="D30" s="81">
        <f>(C30*0.8)*0.85</f>
        <v>0</v>
      </c>
      <c r="E30" s="81">
        <f>(C30*0.8)*0.15</f>
        <v>0</v>
      </c>
      <c r="F30" s="82">
        <f>C30*0.2</f>
        <v>0</v>
      </c>
      <c r="I30" s="124"/>
      <c r="J30" s="83"/>
      <c r="K30" s="80">
        <f>+'SALES SUMMARY'!AF76</f>
        <v>898.19</v>
      </c>
      <c r="L30" s="81">
        <f>(K30*0.8)*0.85</f>
        <v>610.76920000000007</v>
      </c>
      <c r="M30" s="81">
        <f>(K30*0.8)*0.15</f>
        <v>107.78280000000002</v>
      </c>
      <c r="N30" s="82">
        <f>K30*0.2</f>
        <v>179.63800000000003</v>
      </c>
    </row>
    <row r="31" spans="1:14" ht="13.8" thickBot="1">
      <c r="A31" s="127"/>
      <c r="B31" s="84"/>
      <c r="C31" s="85">
        <f>+C30+C29</f>
        <v>0</v>
      </c>
      <c r="D31" s="86">
        <f>+D30+D29</f>
        <v>0</v>
      </c>
      <c r="E31" s="86">
        <f>+E30+E29</f>
        <v>0</v>
      </c>
      <c r="F31" s="87">
        <f>+F30+F29</f>
        <v>0</v>
      </c>
      <c r="I31" s="127"/>
      <c r="J31" s="84"/>
      <c r="K31" s="85">
        <f>+K30+K29</f>
        <v>1989.63</v>
      </c>
      <c r="L31" s="86">
        <f>+L30+L29</f>
        <v>1352.9484000000002</v>
      </c>
      <c r="M31" s="86">
        <f>+M30+M29</f>
        <v>238.75560000000002</v>
      </c>
      <c r="N31" s="87">
        <f>+N30+N29</f>
        <v>397.92600000000004</v>
      </c>
    </row>
    <row r="32" spans="1:14">
      <c r="A32" s="225">
        <f>+A29+1</f>
        <v>42347</v>
      </c>
      <c r="B32" s="83"/>
      <c r="C32" s="80">
        <f>+'SALES SUMMARY'!AF33</f>
        <v>2412.2600000000002</v>
      </c>
      <c r="D32" s="81">
        <f>(C32*0.8)*0.85</f>
        <v>1640.3368</v>
      </c>
      <c r="E32" s="81">
        <f>(C32*0.8)*0.15</f>
        <v>289.47120000000001</v>
      </c>
      <c r="F32" s="82">
        <f>C32*0.2</f>
        <v>482.45200000000006</v>
      </c>
      <c r="I32" s="123">
        <f>+I29+1</f>
        <v>42362</v>
      </c>
      <c r="J32" s="83"/>
      <c r="K32" s="80">
        <f>+'SALES SUMMARY'!AF78</f>
        <v>1286.3900000000001</v>
      </c>
      <c r="L32" s="81">
        <f>(K32*0.8)*0.85</f>
        <v>874.74520000000007</v>
      </c>
      <c r="M32" s="81">
        <f>(K32*0.8)*0.15</f>
        <v>154.36680000000001</v>
      </c>
      <c r="N32" s="82">
        <f>K32*0.2</f>
        <v>257.27800000000002</v>
      </c>
    </row>
    <row r="33" spans="1:18" ht="13.8" thickBot="1">
      <c r="A33" s="226"/>
      <c r="B33" s="83"/>
      <c r="C33" s="80">
        <f>+'SALES SUMMARY'!AF34</f>
        <v>599.55999999999995</v>
      </c>
      <c r="D33" s="81">
        <f>(C33*0.8)*0.85</f>
        <v>407.70079999999996</v>
      </c>
      <c r="E33" s="81">
        <f>(C33*0.8)*0.15</f>
        <v>71.947199999999995</v>
      </c>
      <c r="F33" s="82">
        <f>C33*0.2</f>
        <v>119.91199999999999</v>
      </c>
      <c r="I33" s="124"/>
      <c r="J33" s="83"/>
      <c r="K33" s="80">
        <f>+'SALES SUMMARY'!AF79</f>
        <v>1222.6199999999999</v>
      </c>
      <c r="L33" s="81">
        <f>(K33*0.8)*0.85</f>
        <v>831.38159999999993</v>
      </c>
      <c r="M33" s="81">
        <f>(K33*0.8)*0.15</f>
        <v>146.71439999999998</v>
      </c>
      <c r="N33" s="82">
        <f>K33*0.2</f>
        <v>244.524</v>
      </c>
    </row>
    <row r="34" spans="1:18" ht="13.8" thickBot="1">
      <c r="A34" s="127"/>
      <c r="B34" s="84"/>
      <c r="C34" s="85">
        <f>+C33+C32</f>
        <v>3011.82</v>
      </c>
      <c r="D34" s="86">
        <f>+D33+D32</f>
        <v>2048.0376000000001</v>
      </c>
      <c r="E34" s="86">
        <f>+E33+E32</f>
        <v>361.41840000000002</v>
      </c>
      <c r="F34" s="87">
        <f>+F33+F32</f>
        <v>602.36400000000003</v>
      </c>
      <c r="G34" s="128"/>
      <c r="I34" s="127"/>
      <c r="J34" s="84"/>
      <c r="K34" s="85">
        <f>+K33+K32</f>
        <v>2509.0100000000002</v>
      </c>
      <c r="L34" s="86">
        <f>+L33+L32</f>
        <v>1706.1268</v>
      </c>
      <c r="M34" s="86">
        <f>+M33+M32</f>
        <v>301.08119999999997</v>
      </c>
      <c r="N34" s="87">
        <f>+N33+N32</f>
        <v>501.80200000000002</v>
      </c>
    </row>
    <row r="35" spans="1:18">
      <c r="A35" s="225">
        <f>+A32+1</f>
        <v>42348</v>
      </c>
      <c r="B35" s="83"/>
      <c r="C35" s="80">
        <f>+'SALES SUMMARY'!AF36</f>
        <v>1281.76</v>
      </c>
      <c r="D35" s="81">
        <f>(C35*0.8)*0.85</f>
        <v>871.59680000000003</v>
      </c>
      <c r="E35" s="81">
        <f>(C35*0.8)*0.15</f>
        <v>153.81120000000001</v>
      </c>
      <c r="F35" s="82">
        <f>C35*0.2</f>
        <v>256.35200000000003</v>
      </c>
      <c r="I35" s="123">
        <f>+I32+1</f>
        <v>42363</v>
      </c>
      <c r="J35" s="83"/>
      <c r="K35" s="80">
        <f>+'SALES SUMMARY'!AF81</f>
        <v>1200.3900000000001</v>
      </c>
      <c r="L35" s="81">
        <f>(K35*0.8)*0.85</f>
        <v>816.26520000000005</v>
      </c>
      <c r="M35" s="81">
        <f>(K35*0.8)*0.15</f>
        <v>144.04680000000002</v>
      </c>
      <c r="N35" s="82">
        <f>K35*0.2</f>
        <v>240.07800000000003</v>
      </c>
    </row>
    <row r="36" spans="1:18" ht="13.8" thickBot="1">
      <c r="A36" s="226"/>
      <c r="B36" s="83"/>
      <c r="C36" s="80">
        <f>+'SALES SUMMARY'!AF37</f>
        <v>969.02</v>
      </c>
      <c r="D36" s="81">
        <f>(C36*0.8)*0.85</f>
        <v>658.93359999999996</v>
      </c>
      <c r="E36" s="81">
        <f>(C36*0.8)*0.15</f>
        <v>116.2824</v>
      </c>
      <c r="F36" s="82">
        <f>C36*0.2</f>
        <v>193.804</v>
      </c>
      <c r="I36" s="124"/>
      <c r="J36" s="83"/>
      <c r="K36" s="80">
        <f>+'SALES SUMMARY'!AF82</f>
        <v>1150.97</v>
      </c>
      <c r="L36" s="81">
        <f>(K36*0.8)*0.85</f>
        <v>782.65960000000007</v>
      </c>
      <c r="M36" s="81">
        <f>(K36*0.8)*0.15</f>
        <v>138.1164</v>
      </c>
      <c r="N36" s="82">
        <f>K36*0.2</f>
        <v>230.19400000000002</v>
      </c>
    </row>
    <row r="37" spans="1:18" ht="13.8" thickBot="1">
      <c r="A37" s="127"/>
      <c r="B37" s="84"/>
      <c r="C37" s="85">
        <f>+C36+C35</f>
        <v>2250.7799999999997</v>
      </c>
      <c r="D37" s="86">
        <f>+D36+D35</f>
        <v>1530.5304000000001</v>
      </c>
      <c r="E37" s="86">
        <f>+E36+E35</f>
        <v>270.09360000000004</v>
      </c>
      <c r="F37" s="87">
        <f>+F36+F35</f>
        <v>450.15600000000006</v>
      </c>
      <c r="G37" s="128"/>
      <c r="I37" s="127"/>
      <c r="J37" s="84"/>
      <c r="K37" s="85">
        <f>+K36+K35</f>
        <v>2351.36</v>
      </c>
      <c r="L37" s="86">
        <f>+L36+L35</f>
        <v>1598.9248000000002</v>
      </c>
      <c r="M37" s="86">
        <f>+M36+M35</f>
        <v>282.16320000000002</v>
      </c>
      <c r="N37" s="87">
        <f>+N36+N35</f>
        <v>470.27200000000005</v>
      </c>
    </row>
    <row r="38" spans="1:18" ht="14.4">
      <c r="A38" s="225">
        <f>+A35+1</f>
        <v>42349</v>
      </c>
      <c r="B38" s="83"/>
      <c r="C38" s="80">
        <f>+'SALES SUMMARY'!AF39</f>
        <v>1291.8900000000001</v>
      </c>
      <c r="D38" s="81">
        <f>(C38*0.8)*0.85</f>
        <v>878.48520000000008</v>
      </c>
      <c r="E38" s="81">
        <f>(C38*0.8)*0.15</f>
        <v>155.02680000000001</v>
      </c>
      <c r="F38" s="82">
        <f>C38*0.2</f>
        <v>258.37800000000004</v>
      </c>
      <c r="I38" s="123">
        <f>+I35+1</f>
        <v>42364</v>
      </c>
      <c r="J38" s="83"/>
      <c r="K38" s="80">
        <f>+'SALES SUMMARY'!AF84</f>
        <v>1266.3599999999999</v>
      </c>
      <c r="L38" s="81">
        <f>(K38*0.8)*0.85</f>
        <v>861.12479999999994</v>
      </c>
      <c r="M38" s="81">
        <f>(K38*0.8)*0.15</f>
        <v>151.9632</v>
      </c>
      <c r="N38" s="82">
        <f>K38*0.2</f>
        <v>253.27199999999999</v>
      </c>
      <c r="R38" s="129"/>
    </row>
    <row r="39" spans="1:18" ht="13.8" thickBot="1">
      <c r="A39" s="226"/>
      <c r="B39" s="83"/>
      <c r="C39" s="80">
        <f>+'SALES SUMMARY'!AF40</f>
        <v>2848.77</v>
      </c>
      <c r="D39" s="81">
        <f>(C39*0.8)*0.85</f>
        <v>1937.1636000000001</v>
      </c>
      <c r="E39" s="81">
        <f>(C39*0.8)*0.15</f>
        <v>341.85239999999999</v>
      </c>
      <c r="F39" s="82">
        <f>C39*0.2</f>
        <v>569.75400000000002</v>
      </c>
      <c r="I39" s="124"/>
      <c r="J39" s="83"/>
      <c r="K39" s="80">
        <f>+'SALES SUMMARY'!AF85</f>
        <v>3121.56</v>
      </c>
      <c r="L39" s="81">
        <f>(K39*0.8)*0.85</f>
        <v>2122.6608000000001</v>
      </c>
      <c r="M39" s="81">
        <f>(K39*0.8)*0.15</f>
        <v>374.5872</v>
      </c>
      <c r="N39" s="82">
        <f>K39*0.2</f>
        <v>624.31200000000001</v>
      </c>
    </row>
    <row r="40" spans="1:18" ht="13.8" thickBot="1">
      <c r="A40" s="127"/>
      <c r="B40" s="84"/>
      <c r="C40" s="85">
        <f>+C39+C38</f>
        <v>4140.66</v>
      </c>
      <c r="D40" s="86">
        <f>+D39+D38</f>
        <v>2815.6487999999999</v>
      </c>
      <c r="E40" s="86">
        <f>+E39+E38</f>
        <v>496.87919999999997</v>
      </c>
      <c r="F40" s="87">
        <f>+F39+F38</f>
        <v>828.13200000000006</v>
      </c>
      <c r="I40" s="127"/>
      <c r="J40" s="84"/>
      <c r="K40" s="85">
        <f>+K39+K38</f>
        <v>4387.92</v>
      </c>
      <c r="L40" s="86">
        <f>+L39+L38</f>
        <v>2983.7856000000002</v>
      </c>
      <c r="M40" s="86">
        <f>+M39+M38</f>
        <v>526.55039999999997</v>
      </c>
      <c r="N40" s="87">
        <f>+N39+N38</f>
        <v>877.58400000000006</v>
      </c>
    </row>
    <row r="41" spans="1:18">
      <c r="A41" s="225">
        <f>+A38+1</f>
        <v>42350</v>
      </c>
      <c r="B41" s="79"/>
      <c r="C41" s="80">
        <f>+'SALES SUMMARY'!AF42</f>
        <v>1276.45</v>
      </c>
      <c r="D41" s="81">
        <f>(C41*0.8)*0.85</f>
        <v>867.9860000000001</v>
      </c>
      <c r="E41" s="81">
        <f>(C41*0.8)*0.15</f>
        <v>153.17400000000001</v>
      </c>
      <c r="F41" s="82">
        <f>C41*0.2</f>
        <v>255.29000000000002</v>
      </c>
      <c r="I41" s="123">
        <f>+I38+1</f>
        <v>42365</v>
      </c>
      <c r="J41" s="79"/>
      <c r="K41" s="80">
        <f>+'SALES SUMMARY'!AF87</f>
        <v>1752.93</v>
      </c>
      <c r="L41" s="81">
        <f>(K41*0.8)*0.85</f>
        <v>1191.9924000000001</v>
      </c>
      <c r="M41" s="81">
        <f>(K41*0.8)*0.15</f>
        <v>210.35159999999999</v>
      </c>
      <c r="N41" s="82">
        <f>K41*0.2</f>
        <v>350.58600000000001</v>
      </c>
    </row>
    <row r="42" spans="1:18" ht="13.8" thickBot="1">
      <c r="A42" s="226"/>
      <c r="B42" s="83"/>
      <c r="C42" s="80">
        <f>+'SALES SUMMARY'!AF43</f>
        <v>1950.28</v>
      </c>
      <c r="D42" s="81">
        <f>(C42*0.8)*0.85</f>
        <v>1326.1904000000002</v>
      </c>
      <c r="E42" s="81">
        <f>(C42*0.8)*0.15</f>
        <v>234.03360000000001</v>
      </c>
      <c r="F42" s="82">
        <f>C42*0.2</f>
        <v>390.05600000000004</v>
      </c>
      <c r="I42" s="124"/>
      <c r="J42" s="83"/>
      <c r="K42" s="80">
        <f>+'SALES SUMMARY'!AF88</f>
        <v>1904.8</v>
      </c>
      <c r="L42" s="81">
        <f>(K42*0.8)*0.85</f>
        <v>1295.2640000000001</v>
      </c>
      <c r="M42" s="81">
        <f>(K42*0.8)*0.15</f>
        <v>228.57600000000002</v>
      </c>
      <c r="N42" s="82">
        <f>K42*0.2</f>
        <v>380.96000000000004</v>
      </c>
    </row>
    <row r="43" spans="1:18" ht="13.8" thickBot="1">
      <c r="A43" s="126"/>
      <c r="B43" s="84"/>
      <c r="C43" s="85">
        <f>+C42+C41</f>
        <v>3226.73</v>
      </c>
      <c r="D43" s="86">
        <f>+D42+D41</f>
        <v>2194.1764000000003</v>
      </c>
      <c r="E43" s="86">
        <f>+E42+E41</f>
        <v>387.20760000000001</v>
      </c>
      <c r="F43" s="87">
        <f>+F42+F41</f>
        <v>645.346</v>
      </c>
      <c r="I43" s="126"/>
      <c r="J43" s="84"/>
      <c r="K43" s="85">
        <f>+K42+K41</f>
        <v>3657.73</v>
      </c>
      <c r="L43" s="86">
        <f>+L42+L41</f>
        <v>2487.2564000000002</v>
      </c>
      <c r="M43" s="86">
        <f>+M42+M41</f>
        <v>438.92759999999998</v>
      </c>
      <c r="N43" s="87">
        <f>+N42+N41</f>
        <v>731.54600000000005</v>
      </c>
    </row>
    <row r="44" spans="1:18">
      <c r="A44" s="225">
        <f>+A41+1</f>
        <v>42351</v>
      </c>
      <c r="B44" s="83"/>
      <c r="C44" s="80">
        <f>+'SALES SUMMARY'!AF45</f>
        <v>1742.07</v>
      </c>
      <c r="D44" s="81">
        <f>(C44*0.8)*0.85</f>
        <v>1184.6075999999998</v>
      </c>
      <c r="E44" s="81">
        <f>(C44*0.8)*0.15</f>
        <v>209.04839999999999</v>
      </c>
      <c r="F44" s="82">
        <f>C44*0.2</f>
        <v>348.41399999999999</v>
      </c>
      <c r="I44" s="123">
        <f>+I41+1</f>
        <v>42366</v>
      </c>
      <c r="J44" s="83"/>
      <c r="K44" s="80">
        <f>+'SALES SUMMARY'!AF90</f>
        <v>0</v>
      </c>
      <c r="L44" s="81">
        <f>(K44*0.8)*0.85</f>
        <v>0</v>
      </c>
      <c r="M44" s="81">
        <f>(K44*0.8)*0.15</f>
        <v>0</v>
      </c>
      <c r="N44" s="82">
        <f>K44*0.2</f>
        <v>0</v>
      </c>
    </row>
    <row r="45" spans="1:18" ht="13.8" thickBot="1">
      <c r="A45" s="226"/>
      <c r="B45" s="83"/>
      <c r="C45" s="80">
        <f>+'SALES SUMMARY'!AF46</f>
        <v>1470.54</v>
      </c>
      <c r="D45" s="81">
        <f>(C45*0.8)*0.85</f>
        <v>999.96719999999993</v>
      </c>
      <c r="E45" s="81">
        <f>(C45*0.8)*0.15</f>
        <v>176.4648</v>
      </c>
      <c r="F45" s="82">
        <f>C45*0.2</f>
        <v>294.108</v>
      </c>
      <c r="I45" s="124"/>
      <c r="J45" s="83"/>
      <c r="K45" s="80">
        <f>+'SALES SUMMARY'!AF91</f>
        <v>1672.43</v>
      </c>
      <c r="L45" s="81">
        <f>(K45*0.8)*0.85</f>
        <v>1137.2524000000001</v>
      </c>
      <c r="M45" s="81">
        <f>(K45*0.8)*0.15</f>
        <v>200.69160000000002</v>
      </c>
      <c r="N45" s="82">
        <f>K45*0.2</f>
        <v>334.48600000000005</v>
      </c>
      <c r="R45" s="83"/>
    </row>
    <row r="46" spans="1:18" ht="13.8" thickBot="1">
      <c r="A46" s="126"/>
      <c r="B46" s="84"/>
      <c r="C46" s="85">
        <f>+C45+C44</f>
        <v>3212.6099999999997</v>
      </c>
      <c r="D46" s="86">
        <f>+D45+D44</f>
        <v>2184.5747999999999</v>
      </c>
      <c r="E46" s="86">
        <f>+E45+E44</f>
        <v>385.51319999999998</v>
      </c>
      <c r="F46" s="87">
        <f>+F45+F44</f>
        <v>642.52199999999993</v>
      </c>
      <c r="G46" s="128"/>
      <c r="I46" s="126"/>
      <c r="J46" s="84"/>
      <c r="K46" s="85">
        <f>+K45+K44</f>
        <v>1672.43</v>
      </c>
      <c r="L46" s="86">
        <f>+L45+L44</f>
        <v>1137.2524000000001</v>
      </c>
      <c r="M46" s="86">
        <f>+M45+M44</f>
        <v>200.69160000000002</v>
      </c>
      <c r="N46" s="87">
        <f>+N45+N44</f>
        <v>334.48600000000005</v>
      </c>
    </row>
    <row r="47" spans="1:18">
      <c r="A47" s="225">
        <f>+A44+1</f>
        <v>42352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42367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8" thickBot="1">
      <c r="A48" s="226"/>
      <c r="B48" s="83"/>
      <c r="C48" s="80">
        <f>+'SALES SUMMARY'!AF49</f>
        <v>859.43</v>
      </c>
      <c r="D48" s="81">
        <f>(C48*0.8)*0.85</f>
        <v>584.41239999999993</v>
      </c>
      <c r="E48" s="81">
        <f>(C48*0.8)*0.15</f>
        <v>103.13159999999999</v>
      </c>
      <c r="F48" s="82">
        <f>C48*0.2</f>
        <v>171.886</v>
      </c>
      <c r="I48" s="124"/>
      <c r="J48" s="83"/>
      <c r="K48" s="80">
        <f>+'SALES SUMMARY'!AF94</f>
        <v>0</v>
      </c>
      <c r="L48" s="81">
        <f>(K48*0.8)*0.85</f>
        <v>0</v>
      </c>
      <c r="M48" s="81">
        <f>(K48*0.8)*0.15</f>
        <v>0</v>
      </c>
      <c r="N48" s="82">
        <f>K48*0.2</f>
        <v>0</v>
      </c>
    </row>
    <row r="49" spans="1:16" ht="13.8" thickBot="1">
      <c r="A49" s="126"/>
      <c r="B49" s="84"/>
      <c r="C49" s="85">
        <f>+C48+C47</f>
        <v>859.43</v>
      </c>
      <c r="D49" s="86">
        <f>+D48+D47</f>
        <v>584.41239999999993</v>
      </c>
      <c r="E49" s="86">
        <f>+E48+E47</f>
        <v>103.13159999999999</v>
      </c>
      <c r="F49" s="87">
        <f>+F48+F47</f>
        <v>171.886</v>
      </c>
      <c r="G49" s="128"/>
      <c r="H49" s="128"/>
      <c r="I49" s="126"/>
      <c r="J49" s="84"/>
      <c r="K49" s="85">
        <f>+K48+K47</f>
        <v>0</v>
      </c>
      <c r="L49" s="86">
        <f>+L48+L47</f>
        <v>0</v>
      </c>
      <c r="M49" s="86">
        <f>+M48+M47</f>
        <v>0</v>
      </c>
      <c r="N49" s="87">
        <f>+N48+N47</f>
        <v>0</v>
      </c>
    </row>
    <row r="50" spans="1:16">
      <c r="A50" s="225">
        <f>+A47+1</f>
        <v>42353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42368</v>
      </c>
      <c r="J50" s="83"/>
      <c r="K50" s="80">
        <f>+'SALES SUMMARY'!AF96</f>
        <v>867.63</v>
      </c>
      <c r="L50" s="81">
        <f>(K50*0.8)*0.85</f>
        <v>589.98840000000007</v>
      </c>
      <c r="M50" s="81">
        <f>(K50*0.8)*0.15</f>
        <v>104.1156</v>
      </c>
      <c r="N50" s="82">
        <f>K50*0.2</f>
        <v>173.52600000000001</v>
      </c>
    </row>
    <row r="51" spans="1:16" ht="13.8" thickBot="1">
      <c r="A51" s="226"/>
      <c r="B51" s="83"/>
      <c r="C51" s="80">
        <f>+'SALES SUMMARY'!AF52</f>
        <v>0</v>
      </c>
      <c r="D51" s="81">
        <f>(C51*0.8)*0.85</f>
        <v>0</v>
      </c>
      <c r="E51" s="81">
        <f>(C51*0.8)*0.15</f>
        <v>0</v>
      </c>
      <c r="F51" s="82">
        <f>C51*0.2</f>
        <v>0</v>
      </c>
      <c r="I51" s="124"/>
      <c r="J51" s="83"/>
      <c r="K51" s="80">
        <f>+'SALES SUMMARY'!AF97</f>
        <v>520.13</v>
      </c>
      <c r="L51" s="81">
        <f>(K51*0.8)*0.85</f>
        <v>353.6884</v>
      </c>
      <c r="M51" s="81">
        <f>(K51*0.8)*0.15</f>
        <v>62.415600000000005</v>
      </c>
      <c r="N51" s="82">
        <f>K51*0.2</f>
        <v>104.02600000000001</v>
      </c>
    </row>
    <row r="52" spans="1:16" ht="13.8" thickBot="1">
      <c r="A52" s="126"/>
      <c r="B52" s="84"/>
      <c r="C52" s="85">
        <f>+C51+C50</f>
        <v>0</v>
      </c>
      <c r="D52" s="86">
        <f>+D51+D50</f>
        <v>0</v>
      </c>
      <c r="E52" s="86">
        <f>+E51+E50</f>
        <v>0</v>
      </c>
      <c r="F52" s="87">
        <f>+F51+F50</f>
        <v>0</v>
      </c>
      <c r="G52" s="128"/>
      <c r="H52" s="128"/>
      <c r="I52" s="126"/>
      <c r="J52" s="84"/>
      <c r="K52" s="85">
        <f>+K51+K50</f>
        <v>1387.76</v>
      </c>
      <c r="L52" s="86">
        <f>+L51+L50</f>
        <v>943.67680000000007</v>
      </c>
      <c r="M52" s="86">
        <f>+M51+M50</f>
        <v>166.53120000000001</v>
      </c>
      <c r="N52" s="87">
        <f>+N51+N50</f>
        <v>277.55200000000002</v>
      </c>
    </row>
    <row r="53" spans="1:16" ht="13.8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2011.09</v>
      </c>
      <c r="L53" s="81">
        <f>(K53*0.8)*0.85</f>
        <v>1367.5412000000001</v>
      </c>
      <c r="M53" s="81">
        <f>(K53*0.8)*0.15</f>
        <v>241.33080000000001</v>
      </c>
      <c r="N53" s="82">
        <f>K53*0.2</f>
        <v>402.21800000000002</v>
      </c>
    </row>
    <row r="54" spans="1:16" ht="14.4" thickTop="1" thickBot="1">
      <c r="A54" s="89" t="s">
        <v>45</v>
      </c>
      <c r="B54" s="89"/>
      <c r="C54" s="90">
        <f>C10+C13+C16+C19+C22+C25+C28+C31+C34+C37+C40+C43+C46+C49+C52</f>
        <v>32870.549999999996</v>
      </c>
      <c r="D54" s="90">
        <f>D10+D13+D16+D19+D22+D25+D28+D31+D34+D37+D40+D43+D46+D49+D52</f>
        <v>22351.973999999998</v>
      </c>
      <c r="E54" s="90">
        <f>E10+E13+E16+E19+E22+E25+E28+E31+E34+E37+E40+E43+E46+E49+E52</f>
        <v>3944.4660000000003</v>
      </c>
      <c r="F54" s="90">
        <f>F10+F13+F16+F19+F22+F25+F28+F31+F34+F37+F40+F43+F46+F49+F52</f>
        <v>6574.11</v>
      </c>
      <c r="I54" s="124"/>
      <c r="J54" s="83"/>
      <c r="K54" s="80">
        <f>+'SALES SUMMARY'!AF100</f>
        <v>1429.33</v>
      </c>
      <c r="L54" s="81">
        <f>(K54*0.8)*0.85</f>
        <v>971.94439999999997</v>
      </c>
      <c r="M54" s="81">
        <f>(K54*0.8)*0.15</f>
        <v>171.5196</v>
      </c>
      <c r="N54" s="82">
        <f>K54*0.2</f>
        <v>285.86599999999999</v>
      </c>
    </row>
    <row r="55" spans="1:16" ht="14.4" thickTop="1" thickBot="1">
      <c r="C55" s="75" t="s">
        <v>1</v>
      </c>
      <c r="I55" s="126"/>
      <c r="J55" s="84"/>
      <c r="K55" s="85">
        <f>+K54+K53</f>
        <v>3440.42</v>
      </c>
      <c r="L55" s="86">
        <f>+L54+L53</f>
        <v>2339.4856</v>
      </c>
      <c r="M55" s="86">
        <f>+M54+M53</f>
        <v>412.85040000000004</v>
      </c>
      <c r="N55" s="87">
        <f>+N54+N53</f>
        <v>688.08400000000006</v>
      </c>
    </row>
    <row r="56" spans="1:16" ht="13.8" thickBot="1">
      <c r="A56" s="91"/>
      <c r="B56" s="91"/>
      <c r="C56" s="91" t="s">
        <v>70</v>
      </c>
      <c r="D56" s="91"/>
      <c r="E56" s="91"/>
      <c r="F56" s="92">
        <f>D54</f>
        <v>22351.973999999998</v>
      </c>
      <c r="K56" s="88"/>
      <c r="L56" s="88"/>
      <c r="M56" s="88"/>
      <c r="N56" s="82"/>
    </row>
    <row r="57" spans="1:16" ht="14.4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31826.93</v>
      </c>
      <c r="L57" s="90">
        <f>+L10+L13+L16+L19+L22+L25+L28+L31+L34+L37+L40+L43+L46+L49+L52+L55</f>
        <v>21642.312400000006</v>
      </c>
      <c r="M57" s="90">
        <f>+M10+M13+M16+M19+M22+M25+M28+M31+M34+M37+M40+M43+M46+M49+M52+M55</f>
        <v>3819.2316000000001</v>
      </c>
      <c r="N57" s="90">
        <f>+N10+N13+N16+N19+N22+N25+N28+N31+N34+N37+N40+N43+N46+N49+N52+N55</f>
        <v>6365.3859999999995</v>
      </c>
    </row>
    <row r="58" spans="1:16" ht="14.4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4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21642.312400000006</v>
      </c>
    </row>
    <row r="60" spans="1:16" ht="14.4" thickTop="1" thickBot="1">
      <c r="A60" s="91"/>
      <c r="B60" s="91"/>
      <c r="C60" s="91" t="s">
        <v>78</v>
      </c>
      <c r="D60" s="91"/>
      <c r="E60" s="91"/>
      <c r="F60" s="93">
        <f>(F54-F59)*0.6</f>
        <v>1196.4659999999997</v>
      </c>
      <c r="I60" s="91"/>
      <c r="J60" s="91"/>
      <c r="K60" s="91"/>
      <c r="L60" s="91"/>
      <c r="M60" s="131"/>
    </row>
    <row r="61" spans="1:16" ht="14.4" thickTop="1" thickBot="1">
      <c r="A61" s="91"/>
      <c r="B61" s="91"/>
      <c r="C61" s="91" t="s">
        <v>79</v>
      </c>
      <c r="D61" s="91"/>
      <c r="E61" s="91"/>
      <c r="F61" s="94">
        <f>+F59+F60</f>
        <v>5776.4659999999994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8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8" thickBot="1">
      <c r="A63" s="91"/>
      <c r="B63" s="91"/>
      <c r="C63" s="91" t="s">
        <v>80</v>
      </c>
      <c r="D63" s="91"/>
      <c r="E63" s="91"/>
      <c r="F63" s="93">
        <f>E54</f>
        <v>3944.4660000000003</v>
      </c>
      <c r="I63" s="91"/>
      <c r="J63" s="91" t="s">
        <v>81</v>
      </c>
      <c r="K63" s="91"/>
      <c r="L63" s="91"/>
      <c r="M63" s="131"/>
      <c r="N63" s="133">
        <f>(N57-N62)*0.6</f>
        <v>1071.2315999999996</v>
      </c>
    </row>
    <row r="64" spans="1:16" ht="14.4" thickTop="1" thickBot="1">
      <c r="I64" s="91"/>
      <c r="J64" s="91" t="s">
        <v>79</v>
      </c>
      <c r="K64" s="91"/>
      <c r="L64" s="91"/>
      <c r="M64" s="130"/>
      <c r="N64" s="94">
        <f>+N62+N63</f>
        <v>5651.2315999999992</v>
      </c>
    </row>
    <row r="65" spans="3:14" ht="13.8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797.64399999999989</v>
      </c>
      <c r="I66" s="91"/>
      <c r="J66" s="91" t="s">
        <v>80</v>
      </c>
      <c r="K66" s="91"/>
      <c r="L66" s="91"/>
      <c r="M66" s="130"/>
      <c r="N66" s="93">
        <f>M57</f>
        <v>3819.2316000000001</v>
      </c>
    </row>
    <row r="67" spans="3:14">
      <c r="M67" s="83"/>
    </row>
    <row r="68" spans="3:14" ht="13.8" thickBot="1">
      <c r="C68" s="91" t="s">
        <v>84</v>
      </c>
      <c r="F68" s="95">
        <f>+F56+F59+F60+F63+F66</f>
        <v>32870.549999999996</v>
      </c>
      <c r="G68" s="128">
        <f>+F68-C54</f>
        <v>0</v>
      </c>
      <c r="J68" s="91" t="s">
        <v>82</v>
      </c>
      <c r="M68" s="83"/>
    </row>
    <row r="69" spans="3:14" ht="13.8" thickTop="1">
      <c r="J69" s="91" t="s">
        <v>83</v>
      </c>
      <c r="M69" s="83"/>
      <c r="N69" s="93">
        <f>(N57-N62)*0.4</f>
        <v>714.1543999999999</v>
      </c>
    </row>
    <row r="71" spans="3:14" ht="13.8" thickBot="1">
      <c r="J71" s="91" t="s">
        <v>84</v>
      </c>
      <c r="N71" s="95">
        <f>+N59+N62+N63+N66+N69</f>
        <v>31826.930000000004</v>
      </c>
    </row>
    <row r="72" spans="3:14" ht="13.8" thickTop="1"/>
    <row r="74" spans="3:14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N99" sqref="N99"/>
    </sheetView>
  </sheetViews>
  <sheetFormatPr defaultColWidth="9.109375" defaultRowHeight="13.2"/>
  <cols>
    <col min="1" max="1" width="31.6640625" style="73" bestFit="1" customWidth="1"/>
    <col min="2" max="2" width="9.109375" style="73"/>
    <col min="3" max="4" width="0" style="73" hidden="1" customWidth="1"/>
    <col min="5" max="5" width="9.109375" style="73"/>
    <col min="6" max="7" width="12.88671875" style="73" customWidth="1"/>
    <col min="8" max="16384" width="9.10937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JULY 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SUMMARY'!C106</f>
        <v>858224.21000000008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SUMMARY'!AF106</f>
        <v>64697.479999999996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SUMMARY'!AM106</f>
        <v>81994.835741142859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711531.89425885724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8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14230.637885177144</v>
      </c>
    </row>
    <row r="18" spans="1:7" ht="13.8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1707.6765462212572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1423.0637885177146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8" thickBot="1">
      <c r="A23" s="104" t="s">
        <v>142</v>
      </c>
      <c r="B23" s="104"/>
      <c r="C23" s="104"/>
      <c r="D23" s="104"/>
      <c r="E23" s="104"/>
      <c r="F23" s="104"/>
      <c r="G23" s="112">
        <f>G17+G19-G21</f>
        <v>14515.250642880686</v>
      </c>
    </row>
    <row r="24" spans="1:7" ht="13.8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8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JULY 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858224.21000000008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64697.479999999996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81994.835741142859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711531.89425885724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8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14230.637885177144</v>
      </c>
    </row>
    <row r="52" spans="1:7" ht="13.8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1707.6765462212572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1423.0637885177146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8" thickBot="1">
      <c r="A57" s="104" t="s">
        <v>142</v>
      </c>
      <c r="B57" s="104"/>
      <c r="C57" s="104"/>
      <c r="D57" s="104"/>
      <c r="E57" s="104"/>
      <c r="F57" s="104"/>
      <c r="G57" s="112">
        <f>G51+G53-G55</f>
        <v>14515.250642880686</v>
      </c>
    </row>
    <row r="58" spans="1:7" ht="13.8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JULY 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858224.21000000008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64697.479999999996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81994.835741142859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711531.89425885724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35576.59471294286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4269.1913655531434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3557.659471294286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8" thickBot="1">
      <c r="A89" s="104" t="s">
        <v>142</v>
      </c>
      <c r="B89" s="104"/>
      <c r="C89" s="104"/>
      <c r="D89" s="104"/>
      <c r="E89" s="104"/>
      <c r="F89" s="104"/>
      <c r="G89" s="112">
        <f>+G83+G85-G87</f>
        <v>36288.126607201717</v>
      </c>
    </row>
    <row r="90" spans="1:7" ht="13.8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8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JULY 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858224.21000000008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64697.479999999996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81994.835741142859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711531.89425885724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35576.59471294286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4269.1913655531434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3557.659471294286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8" thickBot="1">
      <c r="A121" s="104" t="s">
        <v>142</v>
      </c>
      <c r="B121" s="104"/>
      <c r="C121" s="104"/>
      <c r="D121" s="104"/>
      <c r="E121" s="104"/>
      <c r="F121" s="104"/>
      <c r="G121" s="112">
        <f>G115+G117-G119</f>
        <v>36288.126607201717</v>
      </c>
    </row>
    <row r="122" spans="1:7" ht="13.8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6" sqref="E26"/>
    </sheetView>
  </sheetViews>
  <sheetFormatPr defaultRowHeight="14.4"/>
  <cols>
    <col min="4" max="4" width="10.88671875" customWidth="1"/>
    <col min="5" max="5" width="10.44140625" customWidth="1"/>
    <col min="6" max="6" width="11.88671875" customWidth="1"/>
  </cols>
  <sheetData>
    <row r="1" spans="1:6">
      <c r="A1" t="s">
        <v>120</v>
      </c>
    </row>
    <row r="2" spans="1:6">
      <c r="A2" t="s">
        <v>147</v>
      </c>
    </row>
    <row r="3" spans="1:6">
      <c r="A3" t="s">
        <v>121</v>
      </c>
    </row>
    <row r="5" spans="1:6">
      <c r="E5" t="s">
        <v>122</v>
      </c>
      <c r="F5" t="s">
        <v>97</v>
      </c>
    </row>
    <row r="6" spans="1:6">
      <c r="A6" t="s">
        <v>123</v>
      </c>
    </row>
    <row r="7" spans="1:6">
      <c r="A7" t="s">
        <v>124</v>
      </c>
    </row>
    <row r="8" spans="1:6">
      <c r="A8" t="s">
        <v>125</v>
      </c>
    </row>
    <row r="9" spans="1:6">
      <c r="A9" t="s">
        <v>126</v>
      </c>
    </row>
    <row r="10" spans="1:6">
      <c r="A10" t="s">
        <v>127</v>
      </c>
    </row>
    <row r="11" spans="1:6">
      <c r="A11" t="s">
        <v>128</v>
      </c>
    </row>
    <row r="12" spans="1:6">
      <c r="A12" t="s">
        <v>129</v>
      </c>
    </row>
    <row r="13" spans="1:6">
      <c r="A13" t="s">
        <v>130</v>
      </c>
    </row>
    <row r="14" spans="1:6">
      <c r="A14" t="s">
        <v>131</v>
      </c>
    </row>
    <row r="15" spans="1:6">
      <c r="A15" t="s">
        <v>132</v>
      </c>
    </row>
    <row r="16" spans="1:6">
      <c r="A16" t="s">
        <v>133</v>
      </c>
    </row>
    <row r="17" spans="1:6">
      <c r="A17" t="s">
        <v>134</v>
      </c>
    </row>
    <row r="19" spans="1:6">
      <c r="A19" t="s">
        <v>135</v>
      </c>
    </row>
    <row r="20" spans="1:6">
      <c r="A20" t="s">
        <v>136</v>
      </c>
    </row>
    <row r="21" spans="1:6">
      <c r="A21" t="s">
        <v>137</v>
      </c>
    </row>
    <row r="24" spans="1:6">
      <c r="A24" t="s">
        <v>45</v>
      </c>
      <c r="F24" s="155">
        <f>SUM(F7:F21)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SALES SUMMARY</vt:lpstr>
      <vt:lpstr>SALES SUMMARY (2)</vt:lpstr>
      <vt:lpstr>ENTRY</vt:lpstr>
      <vt:lpstr>SC</vt:lpstr>
      <vt:lpstr>M &amp; C VALERO</vt:lpstr>
      <vt:lpstr>van dough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2013-07-01T04:03:09Z</cp:lastPrinted>
  <dcterms:created xsi:type="dcterms:W3CDTF">2013-01-10T00:59:22Z</dcterms:created>
  <dcterms:modified xsi:type="dcterms:W3CDTF">2019-02-06T03:54:15Z</dcterms:modified>
</cp:coreProperties>
</file>