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1520" yWindow="-12" windowWidth="11556" windowHeight="9096" activeTab="7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6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VAT!Choices_Wrapper</definedName>
    <definedName name="Choices_Wrapper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VAT!OpenforUser2</definedName>
    <definedName name="OpenforUser2">VAT!OpenforUser2</definedName>
    <definedName name="OpenForUser3" localSheetId="8">VAT!OpenForUser3</definedName>
    <definedName name="OpenForUser3">VAT!OpenForUser3</definedName>
    <definedName name="OpenForUser4" localSheetId="8">VAT!OpenForUser4</definedName>
    <definedName name="OpenForUser4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24519"/>
</workbook>
</file>

<file path=xl/calcChain.xml><?xml version="1.0" encoding="utf-8"?>
<calcChain xmlns="http://schemas.openxmlformats.org/spreadsheetml/2006/main">
  <c r="H16" i="14"/>
  <c r="H114" i="11"/>
  <c r="H112"/>
  <c r="D22" l="1"/>
  <c r="V73" i="4" l="1"/>
  <c r="V72"/>
  <c r="T73"/>
  <c r="T72"/>
  <c r="Y71"/>
  <c r="T71"/>
  <c r="S71"/>
  <c r="Z70"/>
  <c r="T70"/>
  <c r="S70"/>
  <c r="X69"/>
  <c r="T69"/>
  <c r="S69"/>
  <c r="W68"/>
  <c r="T68"/>
  <c r="S68"/>
  <c r="G87" i="11" l="1"/>
  <c r="G86"/>
  <c r="H70" l="1"/>
  <c r="U92" i="12" l="1"/>
  <c r="S92"/>
  <c r="R92"/>
  <c r="Q92"/>
  <c r="P92"/>
  <c r="O92"/>
  <c r="N92"/>
  <c r="M92"/>
  <c r="L92"/>
  <c r="K92"/>
  <c r="J92"/>
  <c r="I92"/>
  <c r="H92"/>
  <c r="G92"/>
  <c r="F92"/>
  <c r="E92"/>
  <c r="D92"/>
  <c r="T92"/>
  <c r="V68"/>
  <c r="V67"/>
  <c r="M7" i="5" l="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H65" i="11" l="1"/>
  <c r="D17"/>
  <c r="G58" l="1"/>
  <c r="H99"/>
  <c r="H106"/>
  <c r="D105"/>
  <c r="D104"/>
  <c r="D103"/>
  <c r="D102"/>
  <c r="H109"/>
  <c r="G111"/>
  <c r="D116"/>
  <c r="D115"/>
  <c r="D114"/>
  <c r="D113"/>
  <c r="D112"/>
  <c r="A5" i="5"/>
  <c r="D36" i="11" l="1"/>
  <c r="H93" l="1"/>
  <c r="H94" s="1"/>
  <c r="H96" s="1"/>
  <c r="D93"/>
  <c r="G96"/>
  <c r="D94"/>
  <c r="D92"/>
  <c r="H82" l="1"/>
  <c r="D87"/>
  <c r="D81"/>
  <c r="H88" l="1"/>
  <c r="H54"/>
  <c r="H53"/>
  <c r="H52"/>
  <c r="V66" i="12" l="1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T225" i="1" l="1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AH208" i="5" l="1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O64" i="4" l="1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D16" i="2" l="1"/>
  <c r="D106" i="11" l="1"/>
  <c r="D101"/>
  <c r="D109"/>
  <c r="D108"/>
  <c r="C42" i="2" l="1"/>
  <c r="I42"/>
  <c r="H42"/>
  <c r="G42"/>
  <c r="F42"/>
  <c r="D42"/>
  <c r="D15"/>
  <c r="G118" i="11"/>
  <c r="D111"/>
  <c r="D99"/>
  <c r="H118"/>
  <c r="D98"/>
  <c r="G28" i="14"/>
  <c r="I16" i="2"/>
  <c r="H16"/>
  <c r="G16"/>
  <c r="F16"/>
  <c r="I15"/>
  <c r="H15"/>
  <c r="G15"/>
  <c r="F15"/>
  <c r="J42" l="1"/>
  <c r="K42" s="1"/>
  <c r="J16"/>
  <c r="K16" s="1"/>
  <c r="G17" i="13" s="1"/>
  <c r="J15" i="2"/>
  <c r="K15" s="1"/>
  <c r="G35" i="14" l="1"/>
  <c r="G16" i="13"/>
  <c r="I56" i="2"/>
  <c r="H56"/>
  <c r="G56"/>
  <c r="F56"/>
  <c r="D56"/>
  <c r="I68"/>
  <c r="H68"/>
  <c r="G68"/>
  <c r="F68"/>
  <c r="D68"/>
  <c r="D88" i="11"/>
  <c r="H90"/>
  <c r="D86"/>
  <c r="H51" i="2"/>
  <c r="G51"/>
  <c r="F51"/>
  <c r="D51"/>
  <c r="G84" i="11"/>
  <c r="D82"/>
  <c r="D80"/>
  <c r="J56" i="2" l="1"/>
  <c r="K56" s="1"/>
  <c r="G34" i="14" s="1"/>
  <c r="J68" i="2"/>
  <c r="K68" s="1"/>
  <c r="G90" i="11"/>
  <c r="H84"/>
  <c r="I51" i="2"/>
  <c r="J51" s="1"/>
  <c r="K51" s="1"/>
  <c r="G22" i="14" s="1"/>
  <c r="G25" i="13" l="1"/>
  <c r="G27" s="1"/>
  <c r="D75" i="11"/>
  <c r="H78"/>
  <c r="G78"/>
  <c r="D76"/>
  <c r="D74"/>
  <c r="S226" i="1" l="1"/>
  <c r="R226"/>
  <c r="Q226"/>
  <c r="P226"/>
  <c r="O226"/>
  <c r="S5"/>
  <c r="R5"/>
  <c r="Q5"/>
  <c r="P5"/>
  <c r="O5"/>
  <c r="M226"/>
  <c r="M5"/>
  <c r="L226"/>
  <c r="L5"/>
  <c r="K226"/>
  <c r="K5"/>
  <c r="N226"/>
  <c r="J226"/>
  <c r="N5"/>
  <c r="J5"/>
  <c r="I226"/>
  <c r="I5"/>
  <c r="D96" i="2" l="1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7"/>
  <c r="D66"/>
  <c r="D65"/>
  <c r="D64"/>
  <c r="D63"/>
  <c r="D62"/>
  <c r="D61"/>
  <c r="D60"/>
  <c r="D59"/>
  <c r="D58"/>
  <c r="D57"/>
  <c r="D55"/>
  <c r="D54"/>
  <c r="D53"/>
  <c r="D52"/>
  <c r="D45"/>
  <c r="D44"/>
  <c r="D41"/>
  <c r="D40"/>
  <c r="D39"/>
  <c r="D35"/>
  <c r="D34"/>
  <c r="D33"/>
  <c r="D32"/>
  <c r="D31"/>
  <c r="D30"/>
  <c r="D29"/>
  <c r="D28"/>
  <c r="D27"/>
  <c r="D25"/>
  <c r="D24"/>
  <c r="D23"/>
  <c r="D22"/>
  <c r="D21"/>
  <c r="D10"/>
  <c r="D19"/>
  <c r="D18"/>
  <c r="D17"/>
  <c r="D9"/>
  <c r="D11"/>
  <c r="G5" i="12"/>
  <c r="X46"/>
  <c r="X45"/>
  <c r="Y45" s="1"/>
  <c r="X44"/>
  <c r="Y44" s="1"/>
  <c r="X43"/>
  <c r="Y43" s="1"/>
  <c r="X42"/>
  <c r="Y42" s="1"/>
  <c r="X41"/>
  <c r="Y41" s="1"/>
  <c r="X40"/>
  <c r="Y40" s="1"/>
  <c r="X39"/>
  <c r="Y39" s="1"/>
  <c r="X38"/>
  <c r="Y38" s="1"/>
  <c r="X37"/>
  <c r="Y37" s="1"/>
  <c r="X36"/>
  <c r="Y36" s="1"/>
  <c r="X35"/>
  <c r="Y35" s="1"/>
  <c r="X34"/>
  <c r="Y34" s="1"/>
  <c r="X33"/>
  <c r="Y33" s="1"/>
  <c r="X32"/>
  <c r="Y32" s="1"/>
  <c r="X31"/>
  <c r="Y31" s="1"/>
  <c r="X30"/>
  <c r="Y30" s="1"/>
  <c r="X29"/>
  <c r="Y29" s="1"/>
  <c r="X28"/>
  <c r="Y28" s="1"/>
  <c r="X27"/>
  <c r="Y27" s="1"/>
  <c r="X26"/>
  <c r="Y26" s="1"/>
  <c r="X25"/>
  <c r="Y25" s="1"/>
  <c r="X24"/>
  <c r="Y24" s="1"/>
  <c r="X23"/>
  <c r="Y23" s="1"/>
  <c r="X22"/>
  <c r="Y22" s="1"/>
  <c r="X21"/>
  <c r="Y21" s="1"/>
  <c r="X20"/>
  <c r="Y20" s="1"/>
  <c r="X19"/>
  <c r="Y19" s="1"/>
  <c r="X18"/>
  <c r="Y18" s="1"/>
  <c r="X17"/>
  <c r="Y17" s="1"/>
  <c r="X16"/>
  <c r="Y16" s="1"/>
  <c r="X15"/>
  <c r="Y15" s="1"/>
  <c r="X14"/>
  <c r="X13"/>
  <c r="Y13" s="1"/>
  <c r="X12"/>
  <c r="Y12" s="1"/>
  <c r="X11"/>
  <c r="Y11" s="1"/>
  <c r="X10"/>
  <c r="Y10" s="1"/>
  <c r="X9"/>
  <c r="Y9" s="1"/>
  <c r="X8"/>
  <c r="Y8" s="1"/>
  <c r="Y46"/>
  <c r="Y14"/>
  <c r="X7"/>
  <c r="Y7" s="1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I28" i="2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49"/>
  <c r="H49"/>
  <c r="G49"/>
  <c r="F49"/>
  <c r="I48"/>
  <c r="H48"/>
  <c r="G48"/>
  <c r="F48"/>
  <c r="I47"/>
  <c r="H47"/>
  <c r="G47"/>
  <c r="F47"/>
  <c r="I46"/>
  <c r="H46"/>
  <c r="G46"/>
  <c r="F46"/>
  <c r="I20"/>
  <c r="H20"/>
  <c r="G20"/>
  <c r="F20"/>
  <c r="I19"/>
  <c r="H19"/>
  <c r="G19"/>
  <c r="F19"/>
  <c r="I17"/>
  <c r="G17"/>
  <c r="I18"/>
  <c r="H18"/>
  <c r="G18"/>
  <c r="F18"/>
  <c r="I90"/>
  <c r="G90"/>
  <c r="F90"/>
  <c r="I13"/>
  <c r="H13"/>
  <c r="G13"/>
  <c r="F13"/>
  <c r="I14"/>
  <c r="H14"/>
  <c r="G14"/>
  <c r="F14"/>
  <c r="I12"/>
  <c r="H12"/>
  <c r="G12"/>
  <c r="F12"/>
  <c r="I11"/>
  <c r="H11"/>
  <c r="G11"/>
  <c r="F11"/>
  <c r="I50"/>
  <c r="H50"/>
  <c r="G50"/>
  <c r="F50"/>
  <c r="I45"/>
  <c r="H45"/>
  <c r="G45"/>
  <c r="F45"/>
  <c r="I43"/>
  <c r="H43"/>
  <c r="G43"/>
  <c r="F43"/>
  <c r="I41"/>
  <c r="H41"/>
  <c r="G41"/>
  <c r="F41"/>
  <c r="I40"/>
  <c r="H40"/>
  <c r="G40"/>
  <c r="F40"/>
  <c r="I39"/>
  <c r="H39"/>
  <c r="G39"/>
  <c r="F39"/>
  <c r="I44"/>
  <c r="H44"/>
  <c r="G44"/>
  <c r="F44"/>
  <c r="I95"/>
  <c r="H95"/>
  <c r="G95"/>
  <c r="F95"/>
  <c r="D43"/>
  <c r="D38"/>
  <c r="D37"/>
  <c r="D36"/>
  <c r="D14"/>
  <c r="D49"/>
  <c r="D48"/>
  <c r="D47"/>
  <c r="D46"/>
  <c r="D12"/>
  <c r="D20"/>
  <c r="D91"/>
  <c r="D13"/>
  <c r="D50"/>
  <c r="D95"/>
  <c r="T5" i="12"/>
  <c r="S5"/>
  <c r="R5"/>
  <c r="Q5"/>
  <c r="P5"/>
  <c r="O5"/>
  <c r="N5"/>
  <c r="M5"/>
  <c r="L5"/>
  <c r="K5"/>
  <c r="J5"/>
  <c r="I5"/>
  <c r="H5"/>
  <c r="F5"/>
  <c r="E5"/>
  <c r="D26" i="2"/>
  <c r="U5" i="12"/>
  <c r="D8" i="2"/>
  <c r="D5" i="12"/>
  <c r="U94" l="1"/>
  <c r="J27" i="2"/>
  <c r="K27" s="1"/>
  <c r="J26"/>
  <c r="K26" s="1"/>
  <c r="J25"/>
  <c r="K25" s="1"/>
  <c r="J28"/>
  <c r="K28" s="1"/>
  <c r="J24"/>
  <c r="K24" s="1"/>
  <c r="J46"/>
  <c r="K46" s="1"/>
  <c r="G14" i="14" s="1"/>
  <c r="J47" i="2"/>
  <c r="K47" s="1"/>
  <c r="G15" i="14" s="1"/>
  <c r="J48" i="2"/>
  <c r="K48" s="1"/>
  <c r="G16" i="14" s="1"/>
  <c r="J49" i="2"/>
  <c r="K49" s="1"/>
  <c r="G17" i="14" s="1"/>
  <c r="J20" i="2"/>
  <c r="K20" s="1"/>
  <c r="J19"/>
  <c r="K19" s="1"/>
  <c r="J18"/>
  <c r="K18" s="1"/>
  <c r="J13"/>
  <c r="K13" s="1"/>
  <c r="J14"/>
  <c r="K14" s="1"/>
  <c r="J12"/>
  <c r="K12" s="1"/>
  <c r="J11"/>
  <c r="K11" s="1"/>
  <c r="J50"/>
  <c r="K50" s="1"/>
  <c r="G21" i="14" s="1"/>
  <c r="G23" s="1"/>
  <c r="J45" i="2"/>
  <c r="K45" s="1"/>
  <c r="G11" i="14" s="1"/>
  <c r="J39" i="2"/>
  <c r="K39" s="1"/>
  <c r="J41"/>
  <c r="K41" s="1"/>
  <c r="J43"/>
  <c r="K43" s="1"/>
  <c r="J40"/>
  <c r="K40" s="1"/>
  <c r="J44"/>
  <c r="K44" s="1"/>
  <c r="G10" i="14" s="1"/>
  <c r="J95" i="2"/>
  <c r="K95" s="1"/>
  <c r="G78" i="14" s="1"/>
  <c r="G9" l="1"/>
  <c r="G12" s="1"/>
  <c r="G18"/>
  <c r="G15" i="13"/>
  <c r="G43"/>
  <c r="G63"/>
  <c r="G13"/>
  <c r="G19"/>
  <c r="G39"/>
  <c r="G42"/>
  <c r="G65"/>
  <c r="G21"/>
  <c r="G41"/>
  <c r="G64"/>
  <c r="G12"/>
  <c r="G14"/>
  <c r="G20"/>
  <c r="G40"/>
  <c r="I65" i="2"/>
  <c r="H65"/>
  <c r="G65"/>
  <c r="F65"/>
  <c r="I64"/>
  <c r="H64"/>
  <c r="G64"/>
  <c r="F64"/>
  <c r="I63"/>
  <c r="H63"/>
  <c r="G63"/>
  <c r="F63"/>
  <c r="D53" i="11"/>
  <c r="D52"/>
  <c r="D50"/>
  <c r="H56"/>
  <c r="G56"/>
  <c r="D54"/>
  <c r="D51"/>
  <c r="D49"/>
  <c r="G19" i="14" l="1"/>
  <c r="G24" s="1"/>
  <c r="J63" i="2"/>
  <c r="K63" s="1"/>
  <c r="G46" i="14" s="1"/>
  <c r="J64" i="2"/>
  <c r="K64" s="1"/>
  <c r="G47" i="14" s="1"/>
  <c r="J65" i="2"/>
  <c r="K65" s="1"/>
  <c r="G48" i="14" s="1"/>
  <c r="H72" i="11"/>
  <c r="G72"/>
  <c r="D70"/>
  <c r="D69"/>
  <c r="H67"/>
  <c r="G67"/>
  <c r="D65"/>
  <c r="D64"/>
  <c r="I38" i="2"/>
  <c r="H38"/>
  <c r="G38"/>
  <c r="F38"/>
  <c r="I37"/>
  <c r="H37"/>
  <c r="G37"/>
  <c r="F37"/>
  <c r="I36"/>
  <c r="H36"/>
  <c r="G36"/>
  <c r="F36"/>
  <c r="J37" l="1"/>
  <c r="K37" s="1"/>
  <c r="J38"/>
  <c r="K38" s="1"/>
  <c r="J36"/>
  <c r="K36" s="1"/>
  <c r="G56" i="13" l="1"/>
  <c r="G57"/>
  <c r="G53"/>
  <c r="I94" i="2"/>
  <c r="H94"/>
  <c r="G94"/>
  <c r="F94"/>
  <c r="D59" i="11"/>
  <c r="I55" i="2"/>
  <c r="H55"/>
  <c r="G55"/>
  <c r="F55"/>
  <c r="I53"/>
  <c r="H53"/>
  <c r="G53"/>
  <c r="F53"/>
  <c r="D60" i="11"/>
  <c r="D58"/>
  <c r="H62"/>
  <c r="G62"/>
  <c r="D38"/>
  <c r="H47"/>
  <c r="G47"/>
  <c r="D45"/>
  <c r="D44"/>
  <c r="D43"/>
  <c r="D42"/>
  <c r="D41"/>
  <c r="D40"/>
  <c r="D39"/>
  <c r="D37"/>
  <c r="D35"/>
  <c r="D34"/>
  <c r="D33"/>
  <c r="D32"/>
  <c r="D31"/>
  <c r="D30"/>
  <c r="D29"/>
  <c r="G58" i="13" l="1"/>
  <c r="J94" i="2"/>
  <c r="K94" s="1"/>
  <c r="G77" i="14" s="1"/>
  <c r="J55" i="2"/>
  <c r="K55" s="1"/>
  <c r="G33" i="14" s="1"/>
  <c r="J53" i="2"/>
  <c r="K53" s="1"/>
  <c r="G32" i="14" s="1"/>
  <c r="I9" i="2"/>
  <c r="I10"/>
  <c r="I21"/>
  <c r="I22"/>
  <c r="I23"/>
  <c r="I29"/>
  <c r="I30"/>
  <c r="I31"/>
  <c r="I32"/>
  <c r="I33"/>
  <c r="I34"/>
  <c r="I35"/>
  <c r="I52"/>
  <c r="I54"/>
  <c r="I57"/>
  <c r="I58"/>
  <c r="I59"/>
  <c r="I60"/>
  <c r="I61"/>
  <c r="I62"/>
  <c r="I66"/>
  <c r="I67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1"/>
  <c r="I92"/>
  <c r="I93"/>
  <c r="I96"/>
  <c r="I8"/>
  <c r="D24" i="11"/>
  <c r="H35" i="2"/>
  <c r="G35"/>
  <c r="F35"/>
  <c r="D23" i="11"/>
  <c r="H10" i="2"/>
  <c r="G10"/>
  <c r="F10"/>
  <c r="D21" i="11"/>
  <c r="H27"/>
  <c r="L27" s="1"/>
  <c r="G27"/>
  <c r="H29" i="2"/>
  <c r="G29"/>
  <c r="F29"/>
  <c r="H34"/>
  <c r="G34"/>
  <c r="F34"/>
  <c r="H33"/>
  <c r="G33"/>
  <c r="F33"/>
  <c r="H32"/>
  <c r="G32"/>
  <c r="F32"/>
  <c r="H31"/>
  <c r="G31"/>
  <c r="F31"/>
  <c r="H30"/>
  <c r="G30"/>
  <c r="F30"/>
  <c r="D16" i="11"/>
  <c r="D18"/>
  <c r="D19"/>
  <c r="D20"/>
  <c r="D25"/>
  <c r="H62" i="2"/>
  <c r="G62"/>
  <c r="F62"/>
  <c r="F61"/>
  <c r="G61"/>
  <c r="H61"/>
  <c r="H59"/>
  <c r="G59"/>
  <c r="F59"/>
  <c r="H60"/>
  <c r="G60"/>
  <c r="F60"/>
  <c r="D9" i="11"/>
  <c r="D10"/>
  <c r="D11"/>
  <c r="D12"/>
  <c r="D13"/>
  <c r="D14"/>
  <c r="D15"/>
  <c r="D8"/>
  <c r="I99" i="2" l="1"/>
  <c r="J35"/>
  <c r="K35" s="1"/>
  <c r="J10"/>
  <c r="K10" s="1"/>
  <c r="J29"/>
  <c r="K29" s="1"/>
  <c r="J32"/>
  <c r="K32" s="1"/>
  <c r="J34"/>
  <c r="K34" s="1"/>
  <c r="J33"/>
  <c r="K33" s="1"/>
  <c r="J31"/>
  <c r="K31" s="1"/>
  <c r="J30"/>
  <c r="K30" s="1"/>
  <c r="J62"/>
  <c r="K62" s="1"/>
  <c r="G45" i="14" s="1"/>
  <c r="J61" i="2"/>
  <c r="K61" s="1"/>
  <c r="G44" i="14" s="1"/>
  <c r="J59" i="2"/>
  <c r="K59" s="1"/>
  <c r="G42" i="14" s="1"/>
  <c r="J60" i="2"/>
  <c r="K60" s="1"/>
  <c r="G43" i="14" s="1"/>
  <c r="G47" i="13" l="1"/>
  <c r="G49"/>
  <c r="G51"/>
  <c r="G52"/>
  <c r="G50"/>
  <c r="G11"/>
  <c r="G48"/>
  <c r="G46"/>
  <c r="AJ206" i="5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G96" i="2"/>
  <c r="F96"/>
  <c r="G91"/>
  <c r="F91"/>
  <c r="G58"/>
  <c r="F58"/>
  <c r="G81"/>
  <c r="F81"/>
  <c r="G79"/>
  <c r="F79"/>
  <c r="G83"/>
  <c r="F83"/>
  <c r="G82"/>
  <c r="F82"/>
  <c r="H96"/>
  <c r="H58"/>
  <c r="H81"/>
  <c r="H82"/>
  <c r="H79"/>
  <c r="AH5" i="5"/>
  <c r="AG5"/>
  <c r="AF5"/>
  <c r="AE5"/>
  <c r="AD5"/>
  <c r="AC5"/>
  <c r="AB5"/>
  <c r="AA5"/>
  <c r="S5"/>
  <c r="T5"/>
  <c r="U5"/>
  <c r="V5"/>
  <c r="W5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AJ208" l="1"/>
  <c r="H91" i="2"/>
  <c r="J91" s="1"/>
  <c r="K91" s="1"/>
  <c r="G76" i="14" s="1"/>
  <c r="H90" i="2"/>
  <c r="J90" s="1"/>
  <c r="K90" s="1"/>
  <c r="G75" i="14" s="1"/>
  <c r="G54" i="13"/>
  <c r="J96" i="2"/>
  <c r="K96" s="1"/>
  <c r="G79" i="14" s="1"/>
  <c r="J58" i="2"/>
  <c r="K58" s="1"/>
  <c r="G41" i="14" s="1"/>
  <c r="J81" i="2"/>
  <c r="K81" s="1"/>
  <c r="G66" i="14" s="1"/>
  <c r="J79" i="2"/>
  <c r="K79" s="1"/>
  <c r="G64" i="14" s="1"/>
  <c r="J82" i="2"/>
  <c r="K82" s="1"/>
  <c r="G67" i="14" s="1"/>
  <c r="AY208" i="4" l="1"/>
  <c r="AR208"/>
  <c r="AP208"/>
  <c r="AN208"/>
  <c r="AM208"/>
  <c r="AL208"/>
  <c r="F85" i="2" s="1"/>
  <c r="AK208" i="4"/>
  <c r="AJ208"/>
  <c r="AI208"/>
  <c r="AH208"/>
  <c r="F78" i="2" s="1"/>
  <c r="AG208" i="4"/>
  <c r="F77" i="2" s="1"/>
  <c r="AF208" i="4"/>
  <c r="AE208"/>
  <c r="AD208"/>
  <c r="F73" i="2" s="1"/>
  <c r="AC208" i="4"/>
  <c r="F74" i="2" s="1"/>
  <c r="AB208" i="4"/>
  <c r="AA208"/>
  <c r="U208"/>
  <c r="F22" i="2" s="1"/>
  <c r="AU88" i="4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185"/>
  <c r="AU186"/>
  <c r="AU187"/>
  <c r="AU188"/>
  <c r="AU189"/>
  <c r="AU190"/>
  <c r="AU191"/>
  <c r="AU192"/>
  <c r="AU193"/>
  <c r="AU194"/>
  <c r="AU195"/>
  <c r="AU196"/>
  <c r="AU197"/>
  <c r="AU198"/>
  <c r="AU199"/>
  <c r="AU200"/>
  <c r="AU201"/>
  <c r="AU202"/>
  <c r="AU203"/>
  <c r="AU204"/>
  <c r="AU205"/>
  <c r="AU206"/>
  <c r="G93" i="2"/>
  <c r="G92"/>
  <c r="H89"/>
  <c r="G89"/>
  <c r="H88"/>
  <c r="G88"/>
  <c r="F88"/>
  <c r="H87"/>
  <c r="G87"/>
  <c r="F87"/>
  <c r="H86"/>
  <c r="G86"/>
  <c r="F86"/>
  <c r="H85"/>
  <c r="G85"/>
  <c r="H84"/>
  <c r="G84"/>
  <c r="G80"/>
  <c r="F80"/>
  <c r="H78"/>
  <c r="G78"/>
  <c r="H77"/>
  <c r="G77"/>
  <c r="H76"/>
  <c r="G76"/>
  <c r="F76"/>
  <c r="G75"/>
  <c r="F75"/>
  <c r="H74"/>
  <c r="G74"/>
  <c r="H73"/>
  <c r="G73"/>
  <c r="H72"/>
  <c r="G72"/>
  <c r="F72"/>
  <c r="H71"/>
  <c r="G71"/>
  <c r="F71"/>
  <c r="H70"/>
  <c r="G70"/>
  <c r="H69"/>
  <c r="G69"/>
  <c r="H67"/>
  <c r="G67"/>
  <c r="H66"/>
  <c r="G66"/>
  <c r="F66"/>
  <c r="H57"/>
  <c r="G57"/>
  <c r="H54"/>
  <c r="G54"/>
  <c r="F54"/>
  <c r="H52"/>
  <c r="G52"/>
  <c r="F52"/>
  <c r="G23"/>
  <c r="H22"/>
  <c r="G22"/>
  <c r="G9"/>
  <c r="F9"/>
  <c r="H8"/>
  <c r="F8"/>
  <c r="H21"/>
  <c r="J87" l="1"/>
  <c r="K87" s="1"/>
  <c r="G71" i="14" s="1"/>
  <c r="J73" i="2"/>
  <c r="K73" s="1"/>
  <c r="G58" i="14" s="1"/>
  <c r="J85" i="2"/>
  <c r="K85" s="1"/>
  <c r="G69" i="14" s="1"/>
  <c r="J66" i="2"/>
  <c r="K66" s="1"/>
  <c r="G49" i="14" s="1"/>
  <c r="J74" i="2"/>
  <c r="K74" s="1"/>
  <c r="G59" i="14" s="1"/>
  <c r="J78" i="2"/>
  <c r="K78" s="1"/>
  <c r="G63" i="14" s="1"/>
  <c r="J52" i="2"/>
  <c r="K52" s="1"/>
  <c r="J71"/>
  <c r="K71" s="1"/>
  <c r="G55" i="14" s="1"/>
  <c r="J77" i="2"/>
  <c r="K77" s="1"/>
  <c r="G62" i="14" s="1"/>
  <c r="J22" i="2"/>
  <c r="K22" s="1"/>
  <c r="J54"/>
  <c r="K54" s="1"/>
  <c r="G30" i="14" s="1"/>
  <c r="J72" i="2"/>
  <c r="K72" s="1"/>
  <c r="G57" i="14" s="1"/>
  <c r="J76" i="2"/>
  <c r="K76" s="1"/>
  <c r="G61" i="14" s="1"/>
  <c r="J88" i="2"/>
  <c r="K88" s="1"/>
  <c r="G73" i="14" s="1"/>
  <c r="J86" i="2"/>
  <c r="K86" s="1"/>
  <c r="G70" i="14" s="1"/>
  <c r="AU80" i="4"/>
  <c r="AU79"/>
  <c r="AU78"/>
  <c r="AU68"/>
  <c r="AU67"/>
  <c r="AU66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U15"/>
  <c r="AU14"/>
  <c r="AU13"/>
  <c r="AU12"/>
  <c r="AU11"/>
  <c r="AU10"/>
  <c r="AU9"/>
  <c r="AU8"/>
  <c r="AU7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G29" i="14" l="1"/>
  <c r="G31" s="1"/>
  <c r="G36" s="1"/>
  <c r="G35" i="13"/>
  <c r="N19" i="7"/>
  <c r="H36" i="14" l="1"/>
  <c r="G38"/>
  <c r="N18" i="7"/>
  <c r="E6" i="10"/>
  <c r="E10" l="1"/>
  <c r="E9"/>
  <c r="E5"/>
  <c r="E4"/>
  <c r="D6" l="1"/>
  <c r="D5" l="1"/>
  <c r="D10"/>
  <c r="D9"/>
  <c r="D4"/>
  <c r="C6" l="1"/>
  <c r="C5"/>
  <c r="C10" l="1"/>
  <c r="C9"/>
  <c r="C4"/>
  <c r="O80" i="4"/>
  <c r="O79"/>
  <c r="O78"/>
  <c r="O77"/>
  <c r="O76"/>
  <c r="O75"/>
  <c r="O74"/>
  <c r="O73"/>
  <c r="O72"/>
  <c r="O71"/>
  <c r="O70"/>
  <c r="O69"/>
  <c r="O68"/>
  <c r="O67"/>
  <c r="O66"/>
  <c r="O65"/>
  <c r="AU65" s="1"/>
  <c r="AU64"/>
  <c r="V75" l="1"/>
  <c r="T75"/>
  <c r="AU75" s="1"/>
  <c r="AU74"/>
  <c r="AU72"/>
  <c r="T76"/>
  <c r="AU76" s="1"/>
  <c r="V76"/>
  <c r="X208"/>
  <c r="F70" i="2" s="1"/>
  <c r="J70" s="1"/>
  <c r="K70" s="1"/>
  <c r="G54" i="14" s="1"/>
  <c r="AU69" i="4"/>
  <c r="AS208"/>
  <c r="F57" i="2" s="1"/>
  <c r="J57" s="1"/>
  <c r="K57" s="1"/>
  <c r="G56" i="14" s="1"/>
  <c r="AU77" i="4"/>
  <c r="AO208"/>
  <c r="F84" i="2" s="1"/>
  <c r="J84" s="1"/>
  <c r="K84" s="1"/>
  <c r="G72" i="14" s="1"/>
  <c r="Z208" i="4"/>
  <c r="F93" i="2" s="1"/>
  <c r="AQ208" i="4"/>
  <c r="F89" i="2" s="1"/>
  <c r="J89" s="1"/>
  <c r="K89" s="1"/>
  <c r="G74" i="14" s="1"/>
  <c r="AU81" i="4"/>
  <c r="W208"/>
  <c r="F69" i="2" s="1"/>
  <c r="J69" s="1"/>
  <c r="K69" s="1"/>
  <c r="G53" i="14" s="1"/>
  <c r="AU85" i="4"/>
  <c r="Y208"/>
  <c r="V208"/>
  <c r="AU61"/>
  <c r="T208"/>
  <c r="F23" i="2" s="1"/>
  <c r="AU63" i="4"/>
  <c r="AU73" l="1"/>
  <c r="AU70"/>
  <c r="AU71"/>
  <c r="AU83"/>
  <c r="AU87"/>
  <c r="AU86"/>
  <c r="AU82"/>
  <c r="AU84"/>
  <c r="S208"/>
  <c r="F17" i="2" s="1"/>
  <c r="AU60" i="4"/>
  <c r="AU62"/>
  <c r="M7" i="7"/>
  <c r="M5"/>
  <c r="N10"/>
  <c r="M10"/>
  <c r="L10"/>
  <c r="N7"/>
  <c r="N6"/>
  <c r="M6"/>
  <c r="N5"/>
  <c r="O4"/>
  <c r="O2"/>
  <c r="O10" s="1"/>
  <c r="N11" l="1"/>
  <c r="L6"/>
  <c r="O6" s="1"/>
  <c r="L5"/>
  <c r="L7"/>
  <c r="O7" s="1"/>
  <c r="N13"/>
  <c r="M11"/>
  <c r="M13" s="1"/>
  <c r="M8"/>
  <c r="N8"/>
  <c r="L11" l="1"/>
  <c r="L13" s="1"/>
  <c r="O14" s="1"/>
  <c r="L8"/>
  <c r="O5"/>
  <c r="O11" s="1"/>
  <c r="O13" s="1"/>
  <c r="O15" l="1"/>
  <c r="O8"/>
  <c r="I7" l="1"/>
  <c r="I6"/>
  <c r="I5"/>
  <c r="J14" i="10" l="1"/>
  <c r="J13"/>
  <c r="J12"/>
  <c r="J11"/>
  <c r="J10"/>
  <c r="J9"/>
  <c r="J7"/>
  <c r="J5"/>
  <c r="J4"/>
  <c r="J3"/>
  <c r="J6" l="1"/>
  <c r="J16" s="1"/>
  <c r="I14"/>
  <c r="I13"/>
  <c r="I12"/>
  <c r="I11"/>
  <c r="I3"/>
  <c r="H14"/>
  <c r="H12"/>
  <c r="H11"/>
  <c r="E16"/>
  <c r="F7" l="1"/>
  <c r="K11"/>
  <c r="K12"/>
  <c r="K14"/>
  <c r="I7"/>
  <c r="F14"/>
  <c r="F11"/>
  <c r="H7"/>
  <c r="F12"/>
  <c r="K7" l="1"/>
  <c r="H27" i="7"/>
  <c r="H26"/>
  <c r="H24"/>
  <c r="H6" s="1"/>
  <c r="H19"/>
  <c r="H18"/>
  <c r="H5" l="1"/>
  <c r="H7"/>
  <c r="I9" i="10" l="1"/>
  <c r="I5"/>
  <c r="D10" i="9"/>
  <c r="D2" s="1"/>
  <c r="D12"/>
  <c r="E2"/>
  <c r="E1"/>
  <c r="C2"/>
  <c r="D6"/>
  <c r="D7" s="1"/>
  <c r="C1"/>
  <c r="E7"/>
  <c r="C19"/>
  <c r="C21" s="1"/>
  <c r="C17"/>
  <c r="C7"/>
  <c r="C9" s="1"/>
  <c r="C11" s="1"/>
  <c r="C13" s="1"/>
  <c r="C15" s="1"/>
  <c r="G7" i="7"/>
  <c r="G5"/>
  <c r="G6"/>
  <c r="I6" i="10" l="1"/>
  <c r="I10"/>
  <c r="D9" i="9"/>
  <c r="D11" s="1"/>
  <c r="D13" s="1"/>
  <c r="D1"/>
  <c r="E17"/>
  <c r="E19" s="1"/>
  <c r="D17"/>
  <c r="D19" s="1"/>
  <c r="E9"/>
  <c r="E11" s="1"/>
  <c r="C25"/>
  <c r="I11" i="7"/>
  <c r="H11"/>
  <c r="G11"/>
  <c r="I10"/>
  <c r="H10"/>
  <c r="G10"/>
  <c r="I8"/>
  <c r="H8"/>
  <c r="G8"/>
  <c r="J7"/>
  <c r="J6"/>
  <c r="J5"/>
  <c r="J4"/>
  <c r="J2"/>
  <c r="J10" s="1"/>
  <c r="D11"/>
  <c r="C11"/>
  <c r="B11"/>
  <c r="D10"/>
  <c r="C10"/>
  <c r="B10"/>
  <c r="B13" s="1"/>
  <c r="D8"/>
  <c r="C8"/>
  <c r="B8"/>
  <c r="E7"/>
  <c r="E6"/>
  <c r="E5"/>
  <c r="E4"/>
  <c r="E8" s="1"/>
  <c r="E2"/>
  <c r="E10" s="1"/>
  <c r="I4" i="10" l="1"/>
  <c r="I16" s="1"/>
  <c r="D16"/>
  <c r="I13" i="7"/>
  <c r="H13"/>
  <c r="E13" i="9"/>
  <c r="E15" s="1"/>
  <c r="E21" s="1"/>
  <c r="E25" s="1"/>
  <c r="D15"/>
  <c r="D21" s="1"/>
  <c r="D25" s="1"/>
  <c r="E12"/>
  <c r="E11" i="7"/>
  <c r="E13" s="1"/>
  <c r="E15" s="1"/>
  <c r="D13"/>
  <c r="C13"/>
  <c r="E14" s="1"/>
  <c r="J11"/>
  <c r="J13" s="1"/>
  <c r="G13"/>
  <c r="J8"/>
  <c r="J14" l="1"/>
  <c r="J15" s="1"/>
  <c r="K3" i="6" l="1"/>
  <c r="H13" i="10" l="1"/>
  <c r="K13" s="1"/>
  <c r="F13"/>
  <c r="H80" i="2" l="1"/>
  <c r="J80" s="1"/>
  <c r="K80" s="1"/>
  <c r="G65" i="14" s="1"/>
  <c r="AJ5" i="5"/>
  <c r="Z5"/>
  <c r="Y5"/>
  <c r="X5"/>
  <c r="R5"/>
  <c r="Q5"/>
  <c r="H92" i="2" l="1"/>
  <c r="H75"/>
  <c r="J75" s="1"/>
  <c r="K75" s="1"/>
  <c r="G60" i="14" s="1"/>
  <c r="H23" i="2"/>
  <c r="J23" s="1"/>
  <c r="K23" s="1"/>
  <c r="G38" i="13" l="1"/>
  <c r="G44" s="1"/>
  <c r="H93" i="2"/>
  <c r="J93" s="1"/>
  <c r="K93" s="1"/>
  <c r="H83"/>
  <c r="J83" s="1"/>
  <c r="K83" s="1"/>
  <c r="G68" i="14" s="1"/>
  <c r="F6" i="10"/>
  <c r="H9" i="2"/>
  <c r="J9" s="1"/>
  <c r="K9" s="1"/>
  <c r="H17"/>
  <c r="J17" s="1"/>
  <c r="K17" s="1"/>
  <c r="G18" i="13" s="1"/>
  <c r="F67" i="2"/>
  <c r="J67" s="1"/>
  <c r="K67" s="1"/>
  <c r="V5" i="4"/>
  <c r="Z5"/>
  <c r="U5"/>
  <c r="F92" i="2"/>
  <c r="J92" s="1"/>
  <c r="K92" s="1"/>
  <c r="G51" i="14" s="1"/>
  <c r="Y5" i="4"/>
  <c r="X5"/>
  <c r="W5"/>
  <c r="G5" i="1"/>
  <c r="AU5" i="4"/>
  <c r="T5"/>
  <c r="S5"/>
  <c r="H5" i="1"/>
  <c r="G52" i="14" l="1"/>
  <c r="G66" i="13"/>
  <c r="G68" s="1"/>
  <c r="G10"/>
  <c r="G50" i="14"/>
  <c r="AJ209" i="5"/>
  <c r="H6" i="10"/>
  <c r="K6" s="1"/>
  <c r="G80" i="14" l="1"/>
  <c r="G82" s="1"/>
  <c r="H99" i="2"/>
  <c r="AU208" i="4"/>
  <c r="H10" i="10"/>
  <c r="K10" s="1"/>
  <c r="F10"/>
  <c r="H9"/>
  <c r="K9" s="1"/>
  <c r="F9"/>
  <c r="F3"/>
  <c r="H3"/>
  <c r="F5"/>
  <c r="H5"/>
  <c r="K5" s="1"/>
  <c r="E99" i="2"/>
  <c r="D99"/>
  <c r="C99"/>
  <c r="H226" i="1"/>
  <c r="G21" i="2" l="1"/>
  <c r="F21"/>
  <c r="AU210" i="4"/>
  <c r="H4" i="10"/>
  <c r="K4" s="1"/>
  <c r="F4"/>
  <c r="F16" s="1"/>
  <c r="C16"/>
  <c r="K3"/>
  <c r="G226" i="1"/>
  <c r="S228" s="1"/>
  <c r="J21" i="2" l="1"/>
  <c r="K21" s="1"/>
  <c r="G34" i="13" s="1"/>
  <c r="G36" s="1"/>
  <c r="G60" s="1"/>
  <c r="G70" s="1"/>
  <c r="G8" i="2"/>
  <c r="J8" s="1"/>
  <c r="F99"/>
  <c r="K16" i="10"/>
  <c r="K21" s="1"/>
  <c r="H16"/>
  <c r="K8" i="2" l="1"/>
  <c r="J99"/>
  <c r="G99"/>
  <c r="K99" l="1"/>
  <c r="G9" i="13"/>
  <c r="G22" s="1"/>
  <c r="G29" s="1"/>
  <c r="G72" s="1"/>
</calcChain>
</file>

<file path=xl/sharedStrings.xml><?xml version="1.0" encoding="utf-8"?>
<sst xmlns="http://schemas.openxmlformats.org/spreadsheetml/2006/main" count="1512" uniqueCount="863">
  <si>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</si>
  <si>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</si>
  <si>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</si>
  <si>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</si>
  <si>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</si>
  <si>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</si>
  <si>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</si>
  <si>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</si>
  <si>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</si>
  <si>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</si>
  <si>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</si>
  <si>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</si>
  <si>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</si>
  <si>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</si>
  <si>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</si>
  <si>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</si>
  <si>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</si>
  <si>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</si>
  <si>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</si>
  <si>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</si>
  <si>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</si>
  <si>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</si>
  <si>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</si>
  <si>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</si>
  <si>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</si>
  <si>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</si>
  <si>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</si>
  <si>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</si>
  <si>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</si>
  <si>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</si>
  <si>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</si>
  <si>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</si>
  <si>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</si>
  <si>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</si>
  <si>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</si>
  <si>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</si>
  <si>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</si>
  <si>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</si>
  <si>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</si>
  <si>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</si>
  <si>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</si>
  <si>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</si>
  <si>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</si>
  <si>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</si>
  <si>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</si>
  <si>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</si>
  <si>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</si>
  <si>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</si>
  <si>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</si>
  <si>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</si>
  <si>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</si>
  <si>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</si>
  <si>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</si>
  <si>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</si>
  <si>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</si>
  <si>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</si>
  <si>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</si>
  <si>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</si>
  <si>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</si>
  <si>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</si>
  <si>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</si>
  <si>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</si>
  <si>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</si>
  <si>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</si>
  <si>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</si>
  <si>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</si>
  <si>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</si>
  <si>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</si>
  <si>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</si>
  <si>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</si>
  <si>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</si>
  <si>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</si>
  <si>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</si>
  <si>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</si>
  <si>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</si>
  <si>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</si>
  <si>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</si>
  <si>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</si>
  <si>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</si>
  <si>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</si>
  <si>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</si>
  <si>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</si>
  <si>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</si>
  <si>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</si>
  <si>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</si>
  <si>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</si>
  <si>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</si>
  <si>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</si>
  <si>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</si>
  <si>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</si>
  <si>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</si>
  <si>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</si>
  <si>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</si>
  <si>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</si>
  <si>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</si>
  <si>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</si>
  <si>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</si>
  <si>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</si>
  <si>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</si>
  <si>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</si>
  <si>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</si>
  <si>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</si>
  <si>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</si>
  <si>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</si>
  <si>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</si>
  <si>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</si>
  <si>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</si>
  <si>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</si>
  <si>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</si>
  <si>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</si>
  <si>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</si>
  <si>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</si>
  <si>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</si>
  <si>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</si>
  <si>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</si>
  <si>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</si>
  <si>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</si>
  <si>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</si>
  <si>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</si>
  <si>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</si>
  <si>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</si>
  <si>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</si>
  <si>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</si>
  <si>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</si>
  <si>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</si>
  <si>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</si>
  <si>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</si>
  <si>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</si>
  <si>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</si>
  <si>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</si>
  <si>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</si>
  <si>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</si>
  <si>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</si>
  <si>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October</t>
  </si>
  <si>
    <t>November</t>
  </si>
  <si>
    <t>December</t>
  </si>
  <si>
    <t>4Q</t>
  </si>
  <si>
    <t>Ac015310$</t>
  </si>
  <si>
    <t>year?</t>
  </si>
  <si>
    <t>1st month</t>
  </si>
  <si>
    <t>2nd month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</si>
  <si>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</si>
  <si>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</si>
  <si>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</si>
  <si>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</si>
  <si>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</si>
  <si>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</si>
  <si>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</si>
  <si>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</si>
  <si>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</si>
  <si>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</si>
  <si>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</si>
  <si>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</si>
  <si>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</si>
  <si>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</si>
  <si>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</si>
  <si>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</si>
  <si>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</si>
  <si>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</si>
  <si>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</si>
  <si>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</si>
  <si>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GLOBAL BEER ZERO, INC.</t>
  </si>
  <si>
    <t>267-006-297-000</t>
  </si>
  <si>
    <t>Alvin Cruz</t>
  </si>
  <si>
    <t>251-056-908-000</t>
  </si>
  <si>
    <t>VICENTE CARAG</t>
  </si>
  <si>
    <t>238-326-386-000</t>
  </si>
  <si>
    <t>Amount</t>
  </si>
  <si>
    <t xml:space="preserve"> 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</si>
  <si>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</si>
  <si>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</si>
  <si>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</si>
  <si>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</si>
  <si>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</si>
  <si>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</si>
  <si>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</si>
  <si>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</si>
  <si>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</si>
  <si>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</si>
  <si>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</si>
  <si>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</si>
  <si>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</si>
  <si>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</si>
  <si>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</si>
  <si>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</si>
  <si>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</si>
  <si>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</si>
  <si>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</si>
  <si>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</si>
  <si>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</si>
  <si>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</si>
  <si>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</si>
  <si>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</si>
  <si>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</si>
  <si>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</si>
  <si>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</si>
  <si>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</si>
  <si>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</si>
  <si>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Advances to Employees</t>
  </si>
  <si>
    <t>Employee Charges</t>
  </si>
  <si>
    <t>Employee Bank Loan</t>
  </si>
  <si>
    <t>Others</t>
  </si>
  <si>
    <t>Lates and Under time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</si>
  <si>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</si>
  <si>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</si>
  <si>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</si>
  <si>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</si>
  <si>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</si>
  <si>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</si>
  <si>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</si>
  <si>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</si>
  <si>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SSS Premium Expense</t>
  </si>
  <si>
    <t>PHIC Premium Expense</t>
  </si>
  <si>
    <t>HDMF Premium Expense</t>
  </si>
  <si>
    <t>Shift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</si>
  <si>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</si>
  <si>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</si>
  <si>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</si>
  <si>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</si>
  <si>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</si>
  <si>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</si>
  <si>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</si>
  <si>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</si>
  <si>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</si>
  <si>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</si>
  <si>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</si>
  <si>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</si>
  <si>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</si>
  <si>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</si>
  <si>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</si>
  <si>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</si>
  <si>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</si>
  <si>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</si>
  <si>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</si>
  <si>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</si>
  <si>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</si>
  <si>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</si>
  <si>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</si>
  <si>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</si>
  <si>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</si>
  <si>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</si>
  <si>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</si>
  <si>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</si>
  <si>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</si>
  <si>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</si>
  <si>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</si>
  <si>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</si>
  <si>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</si>
  <si>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</si>
  <si>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</si>
  <si>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</si>
  <si>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</si>
  <si>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</si>
  <si>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</si>
  <si>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</si>
  <si>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</si>
  <si>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</si>
  <si>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</si>
  <si>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</si>
  <si>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</si>
  <si>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</si>
  <si>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</si>
  <si>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</si>
  <si>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</si>
  <si>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Excess in Officer Charges</t>
  </si>
  <si>
    <t>Officer Charge Expense</t>
  </si>
  <si>
    <t>OC and Marketing Adjustment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</si>
  <si>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</si>
  <si>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</si>
  <si>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</si>
  <si>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</si>
  <si>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</si>
  <si>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</si>
  <si>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</si>
  <si>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</si>
  <si>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</si>
  <si>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</si>
  <si>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</si>
  <si>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</si>
  <si>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</si>
  <si>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</si>
  <si>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</si>
  <si>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</si>
  <si>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</si>
  <si>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</si>
  <si>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</si>
  <si>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1811-115</t>
  </si>
  <si>
    <t>1811-116</t>
  </si>
  <si>
    <t>1811-117</t>
  </si>
  <si>
    <t>1811-118</t>
  </si>
  <si>
    <t>1811-119</t>
  </si>
  <si>
    <t>1811-120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</si>
  <si>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</si>
  <si>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</si>
  <si>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</si>
  <si>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</si>
  <si>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</si>
  <si>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</si>
  <si>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</si>
  <si>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</si>
  <si>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</si>
  <si>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</si>
  <si>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</si>
  <si>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</si>
  <si>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</si>
  <si>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</si>
  <si>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</si>
  <si>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</si>
  <si>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</si>
  <si>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</si>
  <si>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</si>
  <si>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</si>
  <si>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</si>
  <si>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</si>
  <si>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</si>
  <si>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</si>
  <si>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</si>
  <si>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</si>
  <si>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</si>
  <si>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</si>
  <si>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</si>
  <si>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</si>
  <si>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</si>
  <si>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</si>
  <si>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</si>
  <si>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</si>
  <si>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</si>
  <si>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</si>
  <si>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</si>
  <si>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</si>
  <si>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</si>
  <si>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</si>
  <si>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</si>
  <si>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</si>
  <si>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</si>
  <si>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</si>
  <si>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</si>
  <si>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</si>
  <si>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</si>
  <si>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</si>
  <si>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</si>
  <si>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</si>
  <si>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</si>
  <si>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</si>
  <si>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</si>
  <si>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</si>
  <si>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</si>
  <si>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</si>
  <si>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</si>
  <si>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</si>
  <si>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</si>
  <si>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</si>
  <si>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</si>
  <si>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</si>
  <si>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</si>
  <si>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</si>
  <si>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</si>
  <si>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</si>
  <si>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</si>
  <si>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</si>
  <si>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</si>
  <si>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</si>
  <si>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</si>
  <si>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</si>
  <si>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</si>
  <si>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</si>
  <si>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</si>
  <si>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</si>
  <si>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</si>
  <si>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</si>
  <si>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</si>
  <si>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</si>
  <si>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Employees Charges</t>
  </si>
  <si>
    <t>Inventory Adjustments</t>
  </si>
  <si>
    <t>Food Cost adjustment due to OC and Marketing.</t>
  </si>
  <si>
    <t>Vat for the month.</t>
  </si>
  <si>
    <t>Spoilages for the month.</t>
  </si>
  <si>
    <t>SSS, PHIC, and HDMF Employer Share for the month.</t>
  </si>
  <si>
    <t>Payroll due on 15th.</t>
  </si>
  <si>
    <t>Payroll due on end of month.</t>
  </si>
  <si>
    <t>PBA for 1 to 15th.</t>
  </si>
  <si>
    <t>PBA for 16 to end of month.</t>
  </si>
  <si>
    <t>Absences</t>
  </si>
  <si>
    <t>Absent</t>
  </si>
  <si>
    <t>Late Charge</t>
  </si>
  <si>
    <t>Income Statement</t>
  </si>
  <si>
    <t>For the month ended August 31, 2018</t>
  </si>
  <si>
    <t>SAN MIGUEL BREWERY INC,</t>
  </si>
  <si>
    <t>006-807-251-027</t>
  </si>
  <si>
    <t>JMK SEAFOODS &amp; MEAT DEALER</t>
  </si>
  <si>
    <t>253-085-810-000</t>
  </si>
  <si>
    <t>FERNANDO SAMPAGA</t>
  </si>
  <si>
    <t>916-578-829-000</t>
  </si>
  <si>
    <t>212-868-741-000</t>
  </si>
  <si>
    <t>PAPEROUS ENTERPRISES</t>
  </si>
  <si>
    <t>227-573-178-000</t>
  </si>
  <si>
    <t>PEPSI-COLA PRODUCTS INC.</t>
  </si>
  <si>
    <t>000-168-541-029</t>
  </si>
  <si>
    <t>LULUBEE CORPORATION</t>
  </si>
  <si>
    <t>008-191-206-000</t>
  </si>
  <si>
    <t>KELGENE INTERNATIONAL INC</t>
  </si>
  <si>
    <t>211-612-468-008</t>
  </si>
  <si>
    <t>FORTUNE GAS</t>
  </si>
  <si>
    <t>STREETS CORPORATION</t>
  </si>
  <si>
    <t>004-521-952-000</t>
  </si>
  <si>
    <t>MANILA BAMBI FOODS COMPANY</t>
  </si>
  <si>
    <t>202-584-709-000</t>
  </si>
  <si>
    <t>Q &amp; H FOODS, INC.</t>
  </si>
  <si>
    <t>004-967-715-000</t>
  </si>
  <si>
    <t>COMMISARY - VAT</t>
  </si>
  <si>
    <t>006-801-378-000</t>
  </si>
  <si>
    <t>CONSOLIDATED FOOD  CORP</t>
  </si>
  <si>
    <t>CABUTAD VEGETABLE DEALER</t>
  </si>
  <si>
    <t>115-491-959-000</t>
  </si>
  <si>
    <t>RMLO TRADING</t>
  </si>
  <si>
    <t>212-660-908-001</t>
  </si>
  <si>
    <t>BEVERAGES</t>
  </si>
  <si>
    <t>FOOD</t>
  </si>
  <si>
    <t>PACKAGING</t>
  </si>
  <si>
    <t>EMPLOYEES MEAL</t>
  </si>
  <si>
    <t>OTHERS</t>
  </si>
  <si>
    <t>Evarlies Meatshop</t>
  </si>
  <si>
    <t>139-599-310-000</t>
  </si>
  <si>
    <t>Angelo Sanchez</t>
  </si>
  <si>
    <t>Glenn Biarcal</t>
  </si>
  <si>
    <t>213-575-918-005</t>
  </si>
  <si>
    <t>ASC Enterprises Inc</t>
  </si>
  <si>
    <t>000-080-595-000</t>
  </si>
  <si>
    <t>Office Warehouse Inc</t>
  </si>
  <si>
    <t>106-226-027-000</t>
  </si>
  <si>
    <t>The Landmark Corporation</t>
  </si>
  <si>
    <t>000-148-285-000</t>
  </si>
  <si>
    <t>Camille Espinosa</t>
  </si>
  <si>
    <t>Rustans Supercenters Inc</t>
  </si>
  <si>
    <t>Earles Delicatessen</t>
  </si>
  <si>
    <t>Sozo Exousia Inc</t>
  </si>
  <si>
    <t>006-801-328-000</t>
  </si>
  <si>
    <t>Tube Ice</t>
  </si>
  <si>
    <t>French Baguette</t>
  </si>
  <si>
    <t>Extra Dining Staff</t>
  </si>
  <si>
    <t>Ripe Mango</t>
  </si>
  <si>
    <t>Transpo going to Commissary</t>
  </si>
  <si>
    <t>am</t>
  </si>
  <si>
    <t>pm</t>
  </si>
  <si>
    <t>BRILLIANT MARKETING</t>
  </si>
  <si>
    <t>EQUILIBRIUM</t>
  </si>
  <si>
    <t>166-445-524-000</t>
  </si>
  <si>
    <t>225-570-714-000</t>
  </si>
  <si>
    <t>H.O Marketing</t>
  </si>
  <si>
    <t>Mercury Drug Corporation</t>
  </si>
  <si>
    <t>000-388-474-486</t>
  </si>
  <si>
    <t>Joyce Dino</t>
  </si>
  <si>
    <t>201-160-401-002</t>
  </si>
  <si>
    <t>Ministop</t>
  </si>
  <si>
    <t>477-928-673-004</t>
  </si>
  <si>
    <t>HDMF</t>
  </si>
  <si>
    <t>200-492-432-008</t>
  </si>
  <si>
    <t>Tosh Head Office</t>
  </si>
  <si>
    <t>Butter</t>
  </si>
  <si>
    <t>Transpo going to Guadalupe</t>
  </si>
  <si>
    <t>AT YOUR SERVICE COOPERATIVE</t>
  </si>
  <si>
    <t>1810-001</t>
  </si>
  <si>
    <t>1810-002</t>
  </si>
  <si>
    <t>1810-003</t>
  </si>
  <si>
    <t>1810-004</t>
  </si>
  <si>
    <t>1810-005</t>
  </si>
  <si>
    <t>1810-006</t>
  </si>
  <si>
    <t>1810-007</t>
  </si>
  <si>
    <t>1810-008</t>
  </si>
  <si>
    <t>1810-009</t>
  </si>
  <si>
    <t>1810-010</t>
  </si>
  <si>
    <t>1810-011</t>
  </si>
  <si>
    <t>1810-012</t>
  </si>
  <si>
    <t>1810-013</t>
  </si>
  <si>
    <t>1810-014</t>
  </si>
  <si>
    <t>1810-015</t>
  </si>
  <si>
    <t>1810-016</t>
  </si>
  <si>
    <t>1810-017</t>
  </si>
  <si>
    <t>1810-018</t>
  </si>
  <si>
    <t>1810-019</t>
  </si>
  <si>
    <t>1810-020</t>
  </si>
  <si>
    <t>1810-021</t>
  </si>
  <si>
    <t>1810-022</t>
  </si>
  <si>
    <t>1810-023</t>
  </si>
  <si>
    <t>1810-024</t>
  </si>
  <si>
    <t>1810-025</t>
  </si>
  <si>
    <t>1810-026</t>
  </si>
  <si>
    <t>1810-027</t>
  </si>
  <si>
    <t>1810-028</t>
  </si>
  <si>
    <t>1810-029</t>
  </si>
  <si>
    <t>1810-030</t>
  </si>
  <si>
    <t>1810-031</t>
  </si>
  <si>
    <t>1810-032</t>
  </si>
  <si>
    <t>1810-033</t>
  </si>
  <si>
    <t>1810-034</t>
  </si>
  <si>
    <t>1810-035</t>
  </si>
  <si>
    <t>1810-036</t>
  </si>
  <si>
    <t>1810-037</t>
  </si>
  <si>
    <t>1810-038</t>
  </si>
  <si>
    <t>1810-039</t>
  </si>
  <si>
    <t>1810-040</t>
  </si>
  <si>
    <t>1810-041</t>
  </si>
  <si>
    <t>1810-042</t>
  </si>
  <si>
    <t>1810-043</t>
  </si>
  <si>
    <t>1810-044</t>
  </si>
  <si>
    <t>1810-045</t>
  </si>
  <si>
    <t>1810-046</t>
  </si>
  <si>
    <t>1810-047</t>
  </si>
  <si>
    <t>1810-048</t>
  </si>
  <si>
    <t>1810-049</t>
  </si>
  <si>
    <t>1810-050</t>
  </si>
  <si>
    <t>1810-051</t>
  </si>
  <si>
    <t>1810-052</t>
  </si>
  <si>
    <t>1810-053</t>
  </si>
  <si>
    <t>1810-054</t>
  </si>
  <si>
    <t>1810-055</t>
  </si>
  <si>
    <t>1810-056</t>
  </si>
  <si>
    <t>1810-057</t>
  </si>
  <si>
    <t>1810-058</t>
  </si>
  <si>
    <t>1810-059</t>
  </si>
  <si>
    <t>1810-060</t>
  </si>
  <si>
    <t>1810-061</t>
  </si>
  <si>
    <t>1810-062</t>
  </si>
  <si>
    <t>1810-063</t>
  </si>
  <si>
    <t>1810-064</t>
  </si>
  <si>
    <t>1810-065</t>
  </si>
  <si>
    <t>1810-066</t>
  </si>
  <si>
    <t>1810-067</t>
  </si>
  <si>
    <t>1810-068</t>
  </si>
  <si>
    <t>1810-069</t>
  </si>
  <si>
    <t>1810-070</t>
  </si>
  <si>
    <t>1810-071</t>
  </si>
  <si>
    <t>1810-072</t>
  </si>
  <si>
    <t>1810-073</t>
  </si>
  <si>
    <t>1810-074</t>
  </si>
  <si>
    <t>1810-075</t>
  </si>
  <si>
    <t>1810-076</t>
  </si>
  <si>
    <t>1810-077</t>
  </si>
  <si>
    <t>1810-078</t>
  </si>
  <si>
    <t>1810-079</t>
  </si>
  <si>
    <t>1810-080</t>
  </si>
  <si>
    <t>1810-081</t>
  </si>
  <si>
    <t>1810-082</t>
  </si>
  <si>
    <t>1810-083</t>
  </si>
  <si>
    <t>1810-084</t>
  </si>
  <si>
    <t>1810-085</t>
  </si>
  <si>
    <t>1810-086</t>
  </si>
  <si>
    <t>1810-087</t>
  </si>
  <si>
    <t>1810-088</t>
  </si>
  <si>
    <t>1810-089</t>
  </si>
  <si>
    <t>1810-090</t>
  </si>
  <si>
    <t>1810-091</t>
  </si>
  <si>
    <t>1810-092</t>
  </si>
  <si>
    <t>1810-093</t>
  </si>
  <si>
    <t>1810-094</t>
  </si>
  <si>
    <t>1810-095</t>
  </si>
  <si>
    <t>1810-096</t>
  </si>
  <si>
    <t>1810-097</t>
  </si>
  <si>
    <t>1810-098</t>
  </si>
  <si>
    <t>1810-099</t>
  </si>
  <si>
    <t>1810-100</t>
  </si>
  <si>
    <t>1810-101</t>
  </si>
  <si>
    <t>1810-102</t>
  </si>
  <si>
    <t>1810-103</t>
  </si>
  <si>
    <t>1810-104</t>
  </si>
  <si>
    <t>1810-105</t>
  </si>
  <si>
    <t>1810-106</t>
  </si>
  <si>
    <t>1810-107</t>
  </si>
  <si>
    <t>1810-108</t>
  </si>
  <si>
    <t>1810-109</t>
  </si>
  <si>
    <t>1810-110</t>
  </si>
  <si>
    <t>1810-111</t>
  </si>
  <si>
    <t>1810-112</t>
  </si>
  <si>
    <t>1810-113</t>
  </si>
  <si>
    <t>1810-114</t>
  </si>
  <si>
    <t>1810-115</t>
  </si>
  <si>
    <t>1810-116</t>
  </si>
  <si>
    <t>1810-117</t>
  </si>
  <si>
    <t>1810-118</t>
  </si>
  <si>
    <t>1810-119</t>
  </si>
  <si>
    <t>1810-120</t>
  </si>
  <si>
    <t>1810-121</t>
  </si>
  <si>
    <t>1810-122</t>
  </si>
  <si>
    <t>1810-123</t>
  </si>
  <si>
    <t>1810-124</t>
  </si>
  <si>
    <t>1810-125</t>
  </si>
  <si>
    <t>1810-126</t>
  </si>
  <si>
    <t>1810-127</t>
  </si>
  <si>
    <t>1810-128</t>
  </si>
  <si>
    <t>1810-129</t>
  </si>
  <si>
    <t>1810-130</t>
  </si>
  <si>
    <t>1810-131</t>
  </si>
  <si>
    <t>1810-132</t>
  </si>
  <si>
    <t>1810-133</t>
  </si>
  <si>
    <t>1810-134</t>
  </si>
  <si>
    <t>1810-135</t>
  </si>
  <si>
    <t>1810-136</t>
  </si>
  <si>
    <t>1810-137</t>
  </si>
  <si>
    <t>1810-138</t>
  </si>
  <si>
    <t>1810-139</t>
  </si>
  <si>
    <t>1810-140</t>
  </si>
  <si>
    <t>1810-141</t>
  </si>
  <si>
    <t>1810-142</t>
  </si>
  <si>
    <t>1810-143</t>
  </si>
  <si>
    <t>1810-144</t>
  </si>
  <si>
    <t>1810-145</t>
  </si>
  <si>
    <t>1810-146</t>
  </si>
  <si>
    <t>1810-147</t>
  </si>
  <si>
    <t>1810-148</t>
  </si>
  <si>
    <t>1810-149</t>
  </si>
  <si>
    <t>1810-150</t>
  </si>
  <si>
    <t>1810-151</t>
  </si>
  <si>
    <t>1810-152</t>
  </si>
  <si>
    <t>1810-153</t>
  </si>
  <si>
    <t>1810-154</t>
  </si>
  <si>
    <t>1810-155</t>
  </si>
  <si>
    <t>1810-156</t>
  </si>
  <si>
    <t>1810-157</t>
  </si>
  <si>
    <t>1810-158</t>
  </si>
  <si>
    <t>1810-159</t>
  </si>
  <si>
    <t>1810-160</t>
  </si>
  <si>
    <t>1810-161</t>
  </si>
  <si>
    <t>1810-162</t>
  </si>
  <si>
    <t>1810-163</t>
  </si>
  <si>
    <t>1810-164</t>
  </si>
  <si>
    <t>1810-165</t>
  </si>
  <si>
    <t>1810-166</t>
  </si>
  <si>
    <t>1810-167</t>
  </si>
  <si>
    <t>1810-168</t>
  </si>
  <si>
    <t>1810-169</t>
  </si>
  <si>
    <t>1810-170</t>
  </si>
  <si>
    <t>1810-171</t>
  </si>
  <si>
    <t>1810-172</t>
  </si>
  <si>
    <t>1810-173</t>
  </si>
  <si>
    <t>1810-174</t>
  </si>
  <si>
    <t>1810-175</t>
  </si>
  <si>
    <t>1810-176</t>
  </si>
  <si>
    <t>1810-177</t>
  </si>
  <si>
    <t>1810-178</t>
  </si>
  <si>
    <t>1810-179</t>
  </si>
  <si>
    <t>1810-180</t>
  </si>
  <si>
    <t>1810-181</t>
  </si>
  <si>
    <t>1810-182</t>
  </si>
  <si>
    <t>1810-183</t>
  </si>
  <si>
    <t>1810-184</t>
  </si>
  <si>
    <t>1810-185</t>
  </si>
  <si>
    <t>1810-186</t>
  </si>
  <si>
    <t>1810-187</t>
  </si>
  <si>
    <t>1810-188</t>
  </si>
  <si>
    <t>1810-189</t>
  </si>
  <si>
    <t>1810-190</t>
  </si>
  <si>
    <t>1810-191</t>
  </si>
  <si>
    <t>1810-192</t>
  </si>
  <si>
    <t>1810-193</t>
  </si>
  <si>
    <t>1810-194</t>
  </si>
  <si>
    <t>1810-195</t>
  </si>
  <si>
    <t>1810-196</t>
  </si>
  <si>
    <t>1810-197</t>
  </si>
  <si>
    <t>1810-198</t>
  </si>
  <si>
    <t>1810-199</t>
  </si>
  <si>
    <t>1810-200</t>
  </si>
  <si>
    <t>1810-1</t>
  </si>
  <si>
    <t>1810-2</t>
  </si>
  <si>
    <t>1810-3</t>
  </si>
  <si>
    <t>1810-4</t>
  </si>
  <si>
    <t>1810-5</t>
  </si>
  <si>
    <t>1810-6</t>
  </si>
  <si>
    <t>1810-7</t>
  </si>
  <si>
    <t>1810-8</t>
  </si>
  <si>
    <t>1810-9</t>
  </si>
  <si>
    <t>1810-10</t>
  </si>
  <si>
    <t>1810-11</t>
  </si>
  <si>
    <t>1810-12</t>
  </si>
  <si>
    <t>1810-13</t>
  </si>
  <si>
    <t>1810-14</t>
  </si>
  <si>
    <t>1810-15</t>
  </si>
  <si>
    <t>1810-16</t>
  </si>
  <si>
    <t>1810-17</t>
  </si>
  <si>
    <t>1810-18</t>
  </si>
  <si>
    <t>1810-19</t>
  </si>
  <si>
    <t>1810-20</t>
  </si>
  <si>
    <t>1810-21</t>
  </si>
  <si>
    <t>1810-22</t>
  </si>
  <si>
    <t>1810-23</t>
  </si>
  <si>
    <t>1810-24</t>
  </si>
  <si>
    <t>1810-25</t>
  </si>
  <si>
    <t>1810-26</t>
  </si>
  <si>
    <t>1810-27</t>
  </si>
  <si>
    <t>1810-28</t>
  </si>
  <si>
    <t>1810-29</t>
  </si>
  <si>
    <t>1810-30</t>
  </si>
  <si>
    <t>1810-31</t>
  </si>
  <si>
    <t>1810-32</t>
  </si>
  <si>
    <t>1810-33</t>
  </si>
  <si>
    <t>1810-34</t>
  </si>
  <si>
    <t>1810-35</t>
  </si>
  <si>
    <t>1810-36</t>
  </si>
  <si>
    <t>1810-37</t>
  </si>
  <si>
    <t>1810-38</t>
  </si>
  <si>
    <t>1810-39</t>
  </si>
  <si>
    <t>1810-40</t>
  </si>
  <si>
    <t>1810-41</t>
  </si>
  <si>
    <t>1810-42</t>
  </si>
  <si>
    <t>1810-43</t>
  </si>
  <si>
    <t>1810-44</t>
  </si>
  <si>
    <t>1810-45</t>
  </si>
  <si>
    <t>1810-46</t>
  </si>
  <si>
    <t>1810-47</t>
  </si>
  <si>
    <t>1810-48</t>
  </si>
  <si>
    <t>1810-49</t>
  </si>
  <si>
    <t>1810-50</t>
  </si>
  <si>
    <t>1810-51</t>
  </si>
  <si>
    <t>1810-52</t>
  </si>
  <si>
    <t>1810-53</t>
  </si>
  <si>
    <t>1810-54</t>
  </si>
  <si>
    <t>1810-55</t>
  </si>
  <si>
    <t>1810-56</t>
  </si>
  <si>
    <t>1810-57</t>
  </si>
  <si>
    <t>1810-58</t>
  </si>
  <si>
    <t>1810-59</t>
  </si>
  <si>
    <t>1810-60</t>
  </si>
  <si>
    <t>1810-61</t>
  </si>
  <si>
    <t>1810-62</t>
  </si>
  <si>
    <t>1810-63</t>
  </si>
  <si>
    <t>1810-64</t>
  </si>
  <si>
    <t>1810-65</t>
  </si>
  <si>
    <t>1810-66</t>
  </si>
  <si>
    <t>1810-67</t>
  </si>
  <si>
    <t>1810-68</t>
  </si>
  <si>
    <t>1810-69</t>
  </si>
  <si>
    <t>1810-70</t>
  </si>
  <si>
    <t>1810-71</t>
  </si>
  <si>
    <t>1810-72</t>
  </si>
  <si>
    <t>1810-73</t>
  </si>
  <si>
    <t>1810-74</t>
  </si>
  <si>
    <t>1810-75</t>
  </si>
  <si>
    <t>1810-76</t>
  </si>
  <si>
    <t>1810-77</t>
  </si>
  <si>
    <t>1810-78</t>
  </si>
  <si>
    <t>1810-79</t>
  </si>
  <si>
    <t>1810-80</t>
  </si>
  <si>
    <t>1810-81</t>
  </si>
  <si>
    <t>1810-82</t>
  </si>
  <si>
    <t>1810-83</t>
  </si>
  <si>
    <t>1810-84</t>
  </si>
  <si>
    <t>1810-85</t>
  </si>
  <si>
    <t>1810-86</t>
  </si>
  <si>
    <t>1810-87</t>
  </si>
  <si>
    <t>1810-88</t>
  </si>
  <si>
    <t>1810-89</t>
  </si>
  <si>
    <t>1810-90</t>
  </si>
  <si>
    <t>1810-91</t>
  </si>
  <si>
    <t>1810-92</t>
  </si>
  <si>
    <t>1810-93</t>
  </si>
  <si>
    <t>1810-94</t>
  </si>
  <si>
    <t>1810-95</t>
  </si>
  <si>
    <t>1810-96</t>
  </si>
  <si>
    <t>1810-97</t>
  </si>
  <si>
    <t>1810-98</t>
  </si>
  <si>
    <t>1810-99</t>
  </si>
  <si>
    <t>PCF GJ 1810-001</t>
  </si>
  <si>
    <t>VIC &amp; BABY VEG DEALER</t>
  </si>
  <si>
    <t>PHOENIX ROYAL TRADING CO., INC.</t>
  </si>
  <si>
    <t>216-218-224-000</t>
  </si>
  <si>
    <t>DIMAX DISTRIBUTION  ENTERPRISE</t>
  </si>
  <si>
    <t>104-194-467-001</t>
  </si>
  <si>
    <t>SILVERSTAR RESOURCES CO., INC.</t>
  </si>
  <si>
    <t>004-447-017-000</t>
  </si>
  <si>
    <t>E-BLUE HOLDINGS &amp; TRADING</t>
  </si>
  <si>
    <t>241-402-504-000</t>
  </si>
  <si>
    <t>MITONI BUSINESS VENTURES</t>
  </si>
  <si>
    <t>132-148-996-000</t>
  </si>
  <si>
    <t>DINING ITEM</t>
  </si>
  <si>
    <t>Shah Bonn Jadd General Merchandise</t>
  </si>
  <si>
    <t>Tosh Katipunan</t>
  </si>
  <si>
    <t>Bread Commissary Inc</t>
  </si>
  <si>
    <t>009-335-457-000</t>
  </si>
  <si>
    <t>Mejora Ferro Corporation</t>
  </si>
  <si>
    <t>928-673-004-000</t>
  </si>
  <si>
    <t>Condura Express Service Center</t>
  </si>
  <si>
    <t>002-284-017-000</t>
  </si>
  <si>
    <t>Makati City Hall</t>
  </si>
  <si>
    <t>Marie Sosa</t>
  </si>
  <si>
    <t>Tosh Cafe</t>
  </si>
  <si>
    <t>San Miguel Brewery Inc</t>
  </si>
  <si>
    <t>Pork Ribs,Bacon Bits,Hungarian Sausage</t>
  </si>
  <si>
    <t>Canester &amp; Paper Straw</t>
  </si>
  <si>
    <t>Payment for Cake (Peacan,Choco Bar,Apple Pie)</t>
  </si>
  <si>
    <t>Transpo pick up cake in Tosh Katipunan</t>
  </si>
  <si>
    <t xml:space="preserve">Payment for Royalty Token </t>
  </si>
  <si>
    <t>Arugula</t>
  </si>
  <si>
    <t>Ideal Linguine,Butter,Cheddar Cheese,Garlic Longganiza</t>
  </si>
  <si>
    <t>Fresh Tomato,Molo Wrapper</t>
  </si>
  <si>
    <t>Baguette Bread,Loaf Bread,Focassia,Brioche</t>
  </si>
  <si>
    <t>Transpo going to Bread Commissary</t>
  </si>
  <si>
    <t>Dory Fish,Arugula Leaves</t>
  </si>
  <si>
    <t>Iodized Salt,Butter,Broas</t>
  </si>
  <si>
    <t>Tang Mango Juice</t>
  </si>
  <si>
    <t>Transpo purchased Beef Shortplate @ Tosh Moa</t>
  </si>
  <si>
    <t>Extra Dining Staff (1day)</t>
  </si>
  <si>
    <t>Glade Air Freashener</t>
  </si>
  <si>
    <t>Tomato,Camote,Sweet Potato,Banana</t>
  </si>
  <si>
    <t>Baguette Bread,Macaroni Elbow,Penne Pasta</t>
  </si>
  <si>
    <t>Pealer</t>
  </si>
  <si>
    <t>Cherry Tomato</t>
  </si>
  <si>
    <t>Bacon,Greenpeas,Butter</t>
  </si>
  <si>
    <t>Grenadine</t>
  </si>
  <si>
    <t>Pork Ribs,Bacon</t>
  </si>
  <si>
    <t>Transpo going to Marikina purchased Pork Ribs</t>
  </si>
  <si>
    <t>Photocopy of P.A. Form</t>
  </si>
  <si>
    <t>Ink Cartridge</t>
  </si>
  <si>
    <t>Lettuce,Oregano Powder,Arugula</t>
  </si>
  <si>
    <t>Tomato Paste,Paprika Powder,Baking Powder,Curry Powder</t>
  </si>
  <si>
    <t>Payment for Cake (Peacan,Choco Bar)</t>
  </si>
  <si>
    <t>Transpo going to Tosh Katipunan</t>
  </si>
  <si>
    <t>Black Forest Ham</t>
  </si>
  <si>
    <t>Linguine Pasta</t>
  </si>
  <si>
    <t>Basil,Ripe Mango</t>
  </si>
  <si>
    <t>Tofu,Cheddar Cheese</t>
  </si>
  <si>
    <t>ACU Cleaning (Dining Area)</t>
  </si>
  <si>
    <t>Extra Dining Staff (1Day)</t>
  </si>
  <si>
    <t>Payment for Cakes (Pecan,Choco Bar,Apple Pie)</t>
  </si>
  <si>
    <t>Transpo purchased Cakes in Katipunan</t>
  </si>
  <si>
    <t>Photocopy of Cashiers Report</t>
  </si>
  <si>
    <t>Brioche Bread</t>
  </si>
  <si>
    <t xml:space="preserve">Scotch Tape,Correction Tape,Paperclip,PCV,POS Ink </t>
  </si>
  <si>
    <t>Alcohol</t>
  </si>
  <si>
    <t>Photocopy of Evaluation Form</t>
  </si>
  <si>
    <t>Envelope,Folder</t>
  </si>
  <si>
    <t>Mansup Meeting Allowance</t>
  </si>
  <si>
    <t>Penalty Payment due to Insuficient Cash Funds</t>
  </si>
  <si>
    <t>Tomato, Baguette Bread</t>
  </si>
  <si>
    <t>Lettuce.Smoked Bangus,Sugar Beets,Camote,Parsley</t>
  </si>
  <si>
    <t>Bacon,Demi Glace,Garlic Longaniza,Lee Kum Kee,Walnuts</t>
  </si>
  <si>
    <t>Pork Ribs &amp; Bacon Bits</t>
  </si>
  <si>
    <t>Transpo purchased Kitchen Stocks in Marikina</t>
  </si>
  <si>
    <t>Bottled Water (15pcs)</t>
  </si>
  <si>
    <t>Basil &amp; Tomato</t>
  </si>
  <si>
    <t>Weighing Scale Registration</t>
  </si>
  <si>
    <t>Transpo went to Makati City Hall</t>
  </si>
  <si>
    <t>Elbow Macaroni, Angel Hair Pasta,Anchovies</t>
  </si>
  <si>
    <t>Payment for Cakes</t>
  </si>
  <si>
    <t>Fresh Tomato,Lettuce,Molo Wrapper</t>
  </si>
  <si>
    <t>Transpo went to KCC Office for Check Signing</t>
  </si>
  <si>
    <t>Florescent Bulb</t>
  </si>
  <si>
    <t>Elbow Macaroni,Chorizo,Sardines,Taba ng Talangka,Sausage</t>
  </si>
  <si>
    <t>Arugula,Smoked Bangus</t>
  </si>
  <si>
    <t>Vegetable Colander</t>
  </si>
  <si>
    <t xml:space="preserve">Short Payment </t>
  </si>
  <si>
    <t>Bacon Bits &amp; Pork Ribs</t>
  </si>
  <si>
    <t>Transpo purchased Kitchen Staff in Marikina</t>
  </si>
  <si>
    <t>Payment for CGL 2018-2019</t>
  </si>
  <si>
    <t>Pesto Mix &amp; Spareribs</t>
  </si>
  <si>
    <t>Tomato,Lettuce,White Onion</t>
  </si>
  <si>
    <t>French Baguette,Italian Meatballs</t>
  </si>
  <si>
    <t>Taxi Fare from Tosh Moa to Valer</t>
  </si>
  <si>
    <t>Photocopy of Cahiers Report</t>
  </si>
  <si>
    <t>Extra Dining Staff (4 days Oct.24-25-26-27)</t>
  </si>
  <si>
    <t>Lettuce &amp; French Baguette</t>
  </si>
  <si>
    <t>Detergent Powder</t>
  </si>
  <si>
    <t>Micro Green Veggies</t>
  </si>
  <si>
    <t>Spaghetti,Anchovies,Kernel Corn,Dill,Cherry Tomato,Eggs</t>
  </si>
  <si>
    <t>Lettuce &amp; Green Peas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</si>
</sst>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color rgb="FF22222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0" fontId="8" fillId="0" borderId="0" xfId="0" applyFont="1"/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2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0" fontId="3" fillId="3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3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164" fontId="3" fillId="0" borderId="1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2" xfId="1" applyFont="1" applyFill="1" applyBorder="1"/>
    <xf numFmtId="43" fontId="2" fillId="0" borderId="4" xfId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43" fontId="3" fillId="3" borderId="1" xfId="1" applyFont="1" applyFill="1" applyBorder="1"/>
    <xf numFmtId="9" fontId="3" fillId="0" borderId="3" xfId="2" applyFont="1" applyBorder="1" applyAlignment="1">
      <alignment horizontal="center"/>
    </xf>
    <xf numFmtId="164" fontId="3" fillId="0" borderId="14" xfId="0" applyNumberFormat="1" applyFont="1" applyBorder="1"/>
    <xf numFmtId="43" fontId="3" fillId="0" borderId="13" xfId="1" applyFont="1" applyBorder="1"/>
    <xf numFmtId="43" fontId="3" fillId="5" borderId="1" xfId="1" applyFont="1" applyFill="1" applyBorder="1"/>
    <xf numFmtId="43" fontId="3" fillId="5" borderId="2" xfId="1" applyFont="1" applyFill="1" applyBorder="1"/>
    <xf numFmtId="43" fontId="3" fillId="4" borderId="2" xfId="1" applyFont="1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3" fontId="3" fillId="0" borderId="0" xfId="2" applyNumberFormat="1" applyFont="1" applyBorder="1"/>
  </cellXfs>
  <cellStyles count="114">
    <cellStyle name="Comma" xfId="1" builtinId="3"/>
    <cellStyle name="Comma 10" xfId="10"/>
    <cellStyle name="Comma 10 2" xfId="11"/>
    <cellStyle name="Comma 11" xfId="12"/>
    <cellStyle name="Comma 2" xfId="5"/>
    <cellStyle name="Comma 2 2" xfId="13"/>
    <cellStyle name="Comma 2 2 2" xfId="14"/>
    <cellStyle name="Comma 2 5" xfId="15"/>
    <cellStyle name="Comma 3" xfId="8"/>
    <cellStyle name="Comma 4" xfId="16"/>
    <cellStyle name="Explanatory Text" xfId="6" builtinId="53"/>
    <cellStyle name="Explanatory Text 2" xfId="4"/>
    <cellStyle name="Normal" xfId="0" builtinId="0"/>
    <cellStyle name="Normal 10" xfId="17"/>
    <cellStyle name="Normal 100" xfId="18"/>
    <cellStyle name="Normal 102" xfId="19"/>
    <cellStyle name="Normal 103" xfId="20"/>
    <cellStyle name="Normal 104" xfId="21"/>
    <cellStyle name="Normal 105" xfId="22"/>
    <cellStyle name="Normal 106" xfId="23"/>
    <cellStyle name="Normal 107" xfId="24"/>
    <cellStyle name="Normal 11" xfId="25"/>
    <cellStyle name="Normal 118" xfId="26"/>
    <cellStyle name="Normal 119" xfId="27"/>
    <cellStyle name="Normal 12" xfId="28"/>
    <cellStyle name="Normal 120" xfId="29"/>
    <cellStyle name="Normal 121" xfId="30"/>
    <cellStyle name="Normal 122" xfId="31"/>
    <cellStyle name="Normal 123" xfId="32"/>
    <cellStyle name="Normal 124" xfId="33"/>
    <cellStyle name="Normal 126" xfId="34"/>
    <cellStyle name="Normal 127" xfId="35"/>
    <cellStyle name="Normal 128" xfId="36"/>
    <cellStyle name="Normal 129" xfId="37"/>
    <cellStyle name="Normal 13" xfId="38"/>
    <cellStyle name="Normal 130" xfId="39"/>
    <cellStyle name="Normal 131" xfId="40"/>
    <cellStyle name="Normal 132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3"/>
    <cellStyle name="Normal 2 2" xfId="48"/>
    <cellStyle name="Normal 2 6" xfId="49"/>
    <cellStyle name="Normal 20" xfId="50"/>
    <cellStyle name="Normal 21" xfId="51"/>
    <cellStyle name="Normal 22" xfId="52"/>
    <cellStyle name="Normal 23" xfId="53"/>
    <cellStyle name="Normal 24" xfId="54"/>
    <cellStyle name="Normal 25" xfId="55"/>
    <cellStyle name="Normal 26" xfId="56"/>
    <cellStyle name="Normal 27" xfId="57"/>
    <cellStyle name="Normal 28" xfId="58"/>
    <cellStyle name="Normal 29" xfId="59"/>
    <cellStyle name="Normal 3" xfId="7"/>
    <cellStyle name="Normal 30" xfId="60"/>
    <cellStyle name="Normal 31" xfId="61"/>
    <cellStyle name="Normal 32" xfId="62"/>
    <cellStyle name="Normal 33" xfId="63"/>
    <cellStyle name="Normal 34" xfId="64"/>
    <cellStyle name="Normal 35" xfId="65"/>
    <cellStyle name="Normal 36" xfId="66"/>
    <cellStyle name="Normal 37" xfId="67"/>
    <cellStyle name="Normal 38" xfId="68"/>
    <cellStyle name="Normal 39" xfId="69"/>
    <cellStyle name="Normal 40" xfId="70"/>
    <cellStyle name="Normal 41" xfId="71"/>
    <cellStyle name="Normal 42" xfId="72"/>
    <cellStyle name="Normal 43" xfId="73"/>
    <cellStyle name="Normal 44" xfId="74"/>
    <cellStyle name="Normal 5" xfId="75"/>
    <cellStyle name="Normal 6" xfId="76"/>
    <cellStyle name="Normal 62" xfId="77"/>
    <cellStyle name="Normal 63" xfId="78"/>
    <cellStyle name="Normal 64" xfId="79"/>
    <cellStyle name="Normal 65" xfId="80"/>
    <cellStyle name="Normal 66" xfId="81"/>
    <cellStyle name="Normal 67" xfId="82"/>
    <cellStyle name="Normal 68" xfId="83"/>
    <cellStyle name="Normal 7" xfId="84"/>
    <cellStyle name="Normal 70" xfId="85"/>
    <cellStyle name="Normal 71" xfId="86"/>
    <cellStyle name="Normal 72" xfId="87"/>
    <cellStyle name="Normal 73" xfId="88"/>
    <cellStyle name="Normal 74" xfId="89"/>
    <cellStyle name="Normal 75" xfId="90"/>
    <cellStyle name="Normal 76" xfId="91"/>
    <cellStyle name="Normal 78" xfId="92"/>
    <cellStyle name="Normal 79" xfId="93"/>
    <cellStyle name="Normal 8" xfId="94"/>
    <cellStyle name="Normal 80" xfId="95"/>
    <cellStyle name="Normal 81" xfId="96"/>
    <cellStyle name="Normal 82" xfId="97"/>
    <cellStyle name="Normal 83" xfId="98"/>
    <cellStyle name="Normal 84" xfId="99"/>
    <cellStyle name="Normal 86" xfId="100"/>
    <cellStyle name="Normal 87" xfId="101"/>
    <cellStyle name="Normal 88" xfId="102"/>
    <cellStyle name="Normal 89" xfId="103"/>
    <cellStyle name="Normal 9" xfId="104"/>
    <cellStyle name="Normal 90" xfId="105"/>
    <cellStyle name="Normal 91" xfId="106"/>
    <cellStyle name="Normal 92" xfId="107"/>
    <cellStyle name="Normal 94" xfId="108"/>
    <cellStyle name="Normal 95" xfId="109"/>
    <cellStyle name="Normal 96" xfId="110"/>
    <cellStyle name="Normal 97" xfId="111"/>
    <cellStyle name="Normal 98" xfId="112"/>
    <cellStyle name="Normal 99" xfId="113"/>
    <cellStyle name="Percent" xfId="2" builtinId="5"/>
    <cellStyle name="Percent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Expanded-October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Expanded-November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Expanded-December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PCR-October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Valero%20Purchases%20-2018%20(new%20format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PCR-November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Valero%20Purchases%20-2018%20(new%20format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Valero%20Purchases%20-2018%20(new%20format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cto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25462.330357142855</v>
          </cell>
        </row>
        <row r="32">
          <cell r="E32">
            <v>30170.17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v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26556.455357142855</v>
          </cell>
        </row>
        <row r="32">
          <cell r="E32">
            <v>24144.89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c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24303.714285714283</v>
          </cell>
        </row>
        <row r="32">
          <cell r="E32">
            <v>27853.25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Oct 1-31"/>
    </sheetNames>
    <sheetDataSet>
      <sheetData sheetId="0">
        <row r="56">
          <cell r="M56">
            <v>1339.2857142857142</v>
          </cell>
        </row>
        <row r="62">
          <cell r="M62">
            <v>321.42857142857139</v>
          </cell>
        </row>
        <row r="105">
          <cell r="M105">
            <v>2812.4999999999995</v>
          </cell>
        </row>
        <row r="117">
          <cell r="M117">
            <v>399.99999999999994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7">
          <cell r="M67">
            <v>202927.23571428569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v 3-29"/>
    </sheetNames>
    <sheetDataSet>
      <sheetData sheetId="0">
        <row r="15">
          <cell r="M15">
            <v>1178.5714285714284</v>
          </cell>
        </row>
        <row r="33">
          <cell r="M33">
            <v>1682.1428571428569</v>
          </cell>
        </row>
        <row r="34">
          <cell r="M34">
            <v>1902.6785714285713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8">
          <cell r="M98">
            <v>183508.69107142859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  <sheetName val="Dec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9">
          <cell r="M59">
            <v>207424.34785714283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4"/>
  <sheetViews>
    <sheetView workbookViewId="0">
      <pane xSplit="2" ySplit="6" topLeftCell="K7" activePane="bottomRight" state="frozen"/>
      <selection pane="topRight" activeCell="C1" sqref="C1"/>
      <selection pane="bottomLeft" activeCell="A7" sqref="A7"/>
      <selection pane="bottomRight" activeCell="V12" sqref="V12"/>
    </sheetView>
  </sheetViews>
  <sheetFormatPr defaultRowHeight="10.199999999999999"/>
  <cols>
    <col min="1" max="1" width="9" style="2" bestFit="1" customWidth="1"/>
    <col min="2" max="2" width="4" style="2" bestFit="1" customWidth="1"/>
    <col min="3" max="3" width="8.88671875" style="2"/>
    <col min="4" max="21" width="16.5546875" style="2" customWidth="1"/>
    <col min="22" max="16384" width="8.88671875" style="2"/>
  </cols>
  <sheetData>
    <row r="1" spans="1:25">
      <c r="A1" s="1" t="s">
        <v>0</v>
      </c>
      <c r="B1" s="1"/>
    </row>
    <row r="2" spans="1:25">
      <c r="A2" s="1" t="s">
        <v>1</v>
      </c>
      <c r="B2" s="1"/>
    </row>
    <row r="3" spans="1:25">
      <c r="A3" s="1" t="s">
        <v>2</v>
      </c>
      <c r="B3" s="1"/>
    </row>
    <row r="5" spans="1:25" s="100" customFormat="1" ht="20.399999999999999">
      <c r="A5" s="98"/>
      <c r="B5" s="98"/>
      <c r="C5" s="98"/>
      <c r="D5" s="75" t="str">
        <f>INDEX(WTB!$A:$B,MATCH(D$6,WTB!$A:$A,),2)</f>
        <v>Cash in Bank</v>
      </c>
      <c r="E5" s="75" t="str">
        <f>INDEX(WTB!$A:$B,MATCH(E$6,WTB!$A:$A,),2)</f>
        <v>Cash Shortage</v>
      </c>
      <c r="F5" s="75" t="str">
        <f>INDEX(WTB!$A:$B,MATCH(F$6,WTB!$A:$A,),2)</f>
        <v>Cash Overage</v>
      </c>
      <c r="G5" s="75" t="str">
        <f>INDEX(WTB!$A:$B,MATCH(G$6,WTB!$A:$A,),2)</f>
        <v>Accounts Receivable</v>
      </c>
      <c r="H5" s="75" t="str">
        <f>INDEX(WTB!$A:$B,MATCH(H$6,WTB!$A:$A,),2)</f>
        <v>Gift Check Receivable</v>
      </c>
      <c r="I5" s="75" t="str">
        <f>INDEX(WTB!$A:$B,MATCH(I$6,WTB!$A:$A,),2)</f>
        <v>Credit Card Commission</v>
      </c>
      <c r="J5" s="75" t="str">
        <f>INDEX(WTB!$A:$B,MATCH(J$6,WTB!$A:$A,),2)</f>
        <v>Creditable Withholdig Tax</v>
      </c>
      <c r="K5" s="75" t="str">
        <f>INDEX(WTB!$A:$B,MATCH(K$6,WTB!$A:$A,),2)</f>
        <v>Credit Card Receivable</v>
      </c>
      <c r="L5" s="75" t="str">
        <f>INDEX(WTB!$A:$B,MATCH(L$6,WTB!$A:$A,),2)</f>
        <v>Regular Discounts</v>
      </c>
      <c r="M5" s="75" t="str">
        <f>INDEX(WTB!$A:$B,MATCH(M$6,WTB!$A:$A,),2)</f>
        <v>Stockholders Discounts</v>
      </c>
      <c r="N5" s="75" t="str">
        <f>INDEX(WTB!$A:$B,MATCH(N$6,WTB!$A:$A,),2)</f>
        <v>Employees Discounts</v>
      </c>
      <c r="O5" s="75" t="str">
        <f>INDEX(WTB!$A:$B,MATCH(O$6,WTB!$A:$A,),2)</f>
        <v>Senior Citizen Discounts</v>
      </c>
      <c r="P5" s="75" t="str">
        <f>INDEX(WTB!$A:$B,MATCH(P$6,WTB!$A:$A,),2)</f>
        <v>Delivery Company Receivable</v>
      </c>
      <c r="Q5" s="75" t="str">
        <f>INDEX(WTB!$A:$B,MATCH(Q$6,WTB!$A:$A,),2)</f>
        <v>Service Charge Payable</v>
      </c>
      <c r="R5" s="75" t="str">
        <f>INDEX(WTB!$A:$B,MATCH(R$6,WTB!$A:$A,),2)</f>
        <v>Provision for Loss</v>
      </c>
      <c r="S5" s="75" t="str">
        <f>INDEX(WTB!$A:$B,MATCH(S$6,WTB!$A:$A,),2)</f>
        <v>Provision for Taxes</v>
      </c>
      <c r="T5" s="75" t="str">
        <f>INDEX(WTB!$A:$B,MATCH(T$6,WTB!$A:$A,),2)</f>
        <v>Sales - Vatable</v>
      </c>
      <c r="U5" s="75" t="str">
        <f>INDEX(WTB!$A:$B,MATCH(U$6,WTB!$A:$A,),2)</f>
        <v>Output Tax</v>
      </c>
      <c r="V5" s="99"/>
    </row>
    <row r="6" spans="1:25">
      <c r="A6" s="76" t="s">
        <v>3</v>
      </c>
      <c r="B6" s="76" t="s">
        <v>214</v>
      </c>
      <c r="C6" s="76" t="s">
        <v>239</v>
      </c>
      <c r="D6" s="76">
        <v>1101</v>
      </c>
      <c r="E6" s="76">
        <v>6902</v>
      </c>
      <c r="F6" s="76">
        <v>4901</v>
      </c>
      <c r="G6" s="76">
        <v>1301</v>
      </c>
      <c r="H6" s="76">
        <v>1303</v>
      </c>
      <c r="I6" s="76">
        <v>6318</v>
      </c>
      <c r="J6" s="76">
        <v>1504</v>
      </c>
      <c r="K6" s="76">
        <v>1302</v>
      </c>
      <c r="L6" s="76">
        <v>4101</v>
      </c>
      <c r="M6" s="76">
        <v>4102</v>
      </c>
      <c r="N6" s="76">
        <v>4103</v>
      </c>
      <c r="O6" s="76">
        <v>4104</v>
      </c>
      <c r="P6" s="76">
        <v>1304</v>
      </c>
      <c r="Q6" s="76">
        <v>2401</v>
      </c>
      <c r="R6" s="76">
        <v>2402</v>
      </c>
      <c r="S6" s="76">
        <v>2403</v>
      </c>
      <c r="T6" s="76">
        <v>4001</v>
      </c>
      <c r="U6" s="76">
        <v>2204</v>
      </c>
      <c r="V6" s="8"/>
    </row>
    <row r="7" spans="1:25">
      <c r="A7" s="9">
        <v>43374</v>
      </c>
      <c r="B7" s="17" t="s">
        <v>442</v>
      </c>
      <c r="C7" s="14" t="s">
        <v>461</v>
      </c>
      <c r="D7" s="16">
        <v>9410</v>
      </c>
      <c r="E7" s="16">
        <v>0</v>
      </c>
      <c r="F7" s="16">
        <v>-2.7999999999992724</v>
      </c>
      <c r="G7" s="16"/>
      <c r="H7" s="16"/>
      <c r="I7" s="16">
        <v>53.16261999999999</v>
      </c>
      <c r="J7" s="16">
        <v>12.363399999999999</v>
      </c>
      <c r="K7" s="16">
        <v>2407.1539799999996</v>
      </c>
      <c r="L7" s="16">
        <v>11.830357142857142</v>
      </c>
      <c r="M7" s="16">
        <v>0</v>
      </c>
      <c r="N7" s="16">
        <v>0</v>
      </c>
      <c r="O7" s="16">
        <v>147.88392857142856</v>
      </c>
      <c r="P7" s="16">
        <v>1315</v>
      </c>
      <c r="Q7" s="16">
        <v>-603.92840000000001</v>
      </c>
      <c r="R7" s="16">
        <v>-106.57559999999999</v>
      </c>
      <c r="S7" s="16">
        <v>-177.626</v>
      </c>
      <c r="T7" s="16">
        <v>-11128.718214285715</v>
      </c>
      <c r="U7" s="16">
        <v>-1316.2804714285714</v>
      </c>
      <c r="V7" s="105">
        <f>SUM(D7:U7)</f>
        <v>21.465599999998403</v>
      </c>
      <c r="W7" s="105"/>
      <c r="X7" s="106">
        <f>+T7+L7</f>
        <v>-11116.887857142858</v>
      </c>
      <c r="Y7" s="106">
        <f>+X7*0.12</f>
        <v>-1334.0265428571429</v>
      </c>
    </row>
    <row r="8" spans="1:25">
      <c r="A8" s="17">
        <v>43374</v>
      </c>
      <c r="B8" s="17" t="s">
        <v>443</v>
      </c>
      <c r="C8" s="14" t="s">
        <v>462</v>
      </c>
      <c r="D8" s="16">
        <v>6633</v>
      </c>
      <c r="E8" s="16">
        <v>2.7100000000000364</v>
      </c>
      <c r="F8" s="16">
        <v>0</v>
      </c>
      <c r="G8" s="16"/>
      <c r="H8" s="16"/>
      <c r="I8" s="16">
        <v>130.74408</v>
      </c>
      <c r="J8" s="16">
        <v>30.4056</v>
      </c>
      <c r="K8" s="16">
        <v>5919.9703199999994</v>
      </c>
      <c r="L8" s="16">
        <v>0</v>
      </c>
      <c r="M8" s="16">
        <v>0</v>
      </c>
      <c r="N8" s="16">
        <v>0</v>
      </c>
      <c r="O8" s="16">
        <v>0</v>
      </c>
      <c r="P8" s="16">
        <v>447</v>
      </c>
      <c r="Q8" s="16">
        <v>-604.40440000000001</v>
      </c>
      <c r="R8" s="16">
        <v>-106.65960000000001</v>
      </c>
      <c r="S8" s="16">
        <v>-177.76600000000002</v>
      </c>
      <c r="T8" s="16">
        <v>-10959.821428571428</v>
      </c>
      <c r="U8" s="16">
        <v>-1315.1785714285713</v>
      </c>
      <c r="V8" s="105">
        <f t="shared" ref="V8:V68" si="0">SUM(D8:U8)</f>
        <v>0</v>
      </c>
      <c r="X8" s="106">
        <f>+T8+L8+M8+N8+O8</f>
        <v>-10959.821428571428</v>
      </c>
      <c r="Y8" s="106">
        <f t="shared" ref="Y8:Y46" si="1">+X8*0.12</f>
        <v>-1315.1785714285713</v>
      </c>
    </row>
    <row r="9" spans="1:25">
      <c r="A9" s="17">
        <v>43375</v>
      </c>
      <c r="B9" s="17" t="s">
        <v>442</v>
      </c>
      <c r="C9" s="14" t="s">
        <v>463</v>
      </c>
      <c r="D9" s="16">
        <v>10781</v>
      </c>
      <c r="E9" s="16">
        <v>0.25</v>
      </c>
      <c r="F9" s="16">
        <v>0</v>
      </c>
      <c r="G9" s="16"/>
      <c r="H9" s="16"/>
      <c r="I9" s="16">
        <v>48.630420000000001</v>
      </c>
      <c r="J9" s="16">
        <v>11.3094</v>
      </c>
      <c r="K9" s="16">
        <v>2201.9401800000001</v>
      </c>
      <c r="L9" s="16">
        <v>58.705357142857139</v>
      </c>
      <c r="M9" s="16">
        <v>0</v>
      </c>
      <c r="N9" s="16">
        <v>0</v>
      </c>
      <c r="O9" s="16">
        <v>195.31249999999997</v>
      </c>
      <c r="P9" s="16">
        <v>336</v>
      </c>
      <c r="Q9" s="16">
        <v>-691.01599999999996</v>
      </c>
      <c r="R9" s="16">
        <v>-121.944</v>
      </c>
      <c r="S9" s="16">
        <v>-203.24</v>
      </c>
      <c r="T9" s="16">
        <v>-11261.866071428569</v>
      </c>
      <c r="U9" s="16">
        <v>-1320.9417857142853</v>
      </c>
      <c r="V9" s="105">
        <f t="shared" si="0"/>
        <v>34.140000000003056</v>
      </c>
      <c r="X9" s="106">
        <f t="shared" ref="X9:X46" si="2">+T9+L9+M9+N9+O9</f>
        <v>-11007.848214285712</v>
      </c>
      <c r="Y9" s="106">
        <f t="shared" si="1"/>
        <v>-1320.9417857142853</v>
      </c>
    </row>
    <row r="10" spans="1:25">
      <c r="A10" s="17">
        <v>43375</v>
      </c>
      <c r="B10" s="17" t="s">
        <v>443</v>
      </c>
      <c r="C10" s="14" t="s">
        <v>464</v>
      </c>
      <c r="D10" s="16">
        <v>9535</v>
      </c>
      <c r="E10" s="16">
        <v>0</v>
      </c>
      <c r="F10" s="16">
        <v>-4.7900000000008731</v>
      </c>
      <c r="G10" s="16"/>
      <c r="H10" s="16"/>
      <c r="I10" s="16">
        <v>56.558329999999991</v>
      </c>
      <c r="J10" s="16">
        <v>13.1531</v>
      </c>
      <c r="K10" s="16">
        <v>2560.9085700000001</v>
      </c>
      <c r="L10" s="16">
        <v>150.22321428571428</v>
      </c>
      <c r="M10" s="16">
        <v>0</v>
      </c>
      <c r="N10" s="16">
        <v>0</v>
      </c>
      <c r="O10" s="16">
        <v>73.339285714285708</v>
      </c>
      <c r="P10" s="16">
        <v>3743</v>
      </c>
      <c r="Q10" s="16">
        <v>-581.74680000000001</v>
      </c>
      <c r="R10" s="16">
        <v>-102.66119999999999</v>
      </c>
      <c r="S10" s="16">
        <v>-171.102</v>
      </c>
      <c r="T10" s="16">
        <v>-13632.734999999999</v>
      </c>
      <c r="U10" s="16">
        <v>-1609.1006999999997</v>
      </c>
      <c r="V10" s="105">
        <f t="shared" si="0"/>
        <v>30.046799999997575</v>
      </c>
      <c r="X10" s="106">
        <f t="shared" si="2"/>
        <v>-13409.172499999999</v>
      </c>
      <c r="Y10" s="106">
        <f t="shared" si="1"/>
        <v>-1609.1006999999997</v>
      </c>
    </row>
    <row r="11" spans="1:25">
      <c r="A11" s="17">
        <v>43376</v>
      </c>
      <c r="B11" s="17" t="s">
        <v>442</v>
      </c>
      <c r="C11" s="14" t="s">
        <v>465</v>
      </c>
      <c r="D11" s="16">
        <v>25420</v>
      </c>
      <c r="E11" s="16">
        <v>0</v>
      </c>
      <c r="F11" s="16">
        <v>-1.430000000000291</v>
      </c>
      <c r="G11" s="16"/>
      <c r="H11" s="16"/>
      <c r="I11" s="16">
        <v>145.131665</v>
      </c>
      <c r="J11" s="16">
        <v>33.751550000000002</v>
      </c>
      <c r="K11" s="16">
        <v>6571.4267850000006</v>
      </c>
      <c r="L11" s="16">
        <v>90.178571428571416</v>
      </c>
      <c r="M11" s="16">
        <v>0</v>
      </c>
      <c r="N11" s="16">
        <v>0</v>
      </c>
      <c r="O11" s="16">
        <v>121.97321428571429</v>
      </c>
      <c r="P11" s="16">
        <v>2150</v>
      </c>
      <c r="Q11" s="16">
        <v>-1720.7059999999999</v>
      </c>
      <c r="R11" s="16">
        <v>-303.654</v>
      </c>
      <c r="S11" s="16">
        <v>-506.09</v>
      </c>
      <c r="T11" s="16">
        <v>-28569.220357142851</v>
      </c>
      <c r="U11" s="16">
        <v>-3402.8482285714276</v>
      </c>
      <c r="V11" s="105">
        <f t="shared" si="0"/>
        <v>28.513200000011693</v>
      </c>
      <c r="X11" s="106">
        <f t="shared" si="2"/>
        <v>-28357.068571428565</v>
      </c>
      <c r="Y11" s="106">
        <f t="shared" si="1"/>
        <v>-3402.8482285714276</v>
      </c>
    </row>
    <row r="12" spans="1:25">
      <c r="A12" s="17">
        <v>43376</v>
      </c>
      <c r="B12" s="17" t="s">
        <v>443</v>
      </c>
      <c r="C12" s="14" t="s">
        <v>466</v>
      </c>
      <c r="D12" s="16">
        <v>9925</v>
      </c>
      <c r="E12" s="16">
        <v>0</v>
      </c>
      <c r="F12" s="16">
        <v>-0.53000000000065484</v>
      </c>
      <c r="G12" s="16"/>
      <c r="H12" s="16"/>
      <c r="I12" s="16">
        <v>117.44933999999999</v>
      </c>
      <c r="J12" s="16">
        <v>27.313800000000001</v>
      </c>
      <c r="K12" s="16">
        <v>5317.9968600000002</v>
      </c>
      <c r="L12" s="16">
        <v>0</v>
      </c>
      <c r="M12" s="16">
        <v>0</v>
      </c>
      <c r="N12" s="16">
        <v>0</v>
      </c>
      <c r="O12" s="16">
        <v>0</v>
      </c>
      <c r="P12" s="16">
        <v>5502</v>
      </c>
      <c r="Q12" s="16">
        <v>-783.51640000000009</v>
      </c>
      <c r="R12" s="16">
        <v>-138.26760000000002</v>
      </c>
      <c r="S12" s="16">
        <v>-230.44600000000003</v>
      </c>
      <c r="T12" s="16">
        <v>-1013.9624000000001</v>
      </c>
      <c r="U12" s="16">
        <v>-121.67548800000002</v>
      </c>
      <c r="V12" s="105">
        <f t="shared" si="0"/>
        <v>18601.362111999999</v>
      </c>
      <c r="X12" s="106">
        <f t="shared" si="2"/>
        <v>-1013.9624000000001</v>
      </c>
      <c r="Y12" s="106">
        <f t="shared" si="1"/>
        <v>-121.67548800000002</v>
      </c>
    </row>
    <row r="13" spans="1:25">
      <c r="A13" s="17">
        <v>43377</v>
      </c>
      <c r="B13" s="17" t="s">
        <v>442</v>
      </c>
      <c r="C13" s="14" t="s">
        <v>467</v>
      </c>
      <c r="D13" s="16">
        <v>6677</v>
      </c>
      <c r="E13" s="16">
        <v>0</v>
      </c>
      <c r="F13" s="16">
        <v>-0.13000000000010914</v>
      </c>
      <c r="G13" s="16"/>
      <c r="H13" s="16"/>
      <c r="I13" s="16">
        <v>18.073544999999999</v>
      </c>
      <c r="J13" s="16">
        <v>4.2031499999999999</v>
      </c>
      <c r="K13" s="16">
        <v>818.35330499999998</v>
      </c>
      <c r="L13" s="16">
        <v>19.196428571428569</v>
      </c>
      <c r="M13" s="16">
        <v>0</v>
      </c>
      <c r="N13" s="16">
        <v>0</v>
      </c>
      <c r="O13" s="16">
        <v>100.44642857142856</v>
      </c>
      <c r="P13" s="16">
        <v>12574</v>
      </c>
      <c r="Q13" s="16">
        <v>-979.29520000000002</v>
      </c>
      <c r="R13" s="16">
        <v>-172.8168</v>
      </c>
      <c r="S13" s="16">
        <v>-288.02800000000002</v>
      </c>
      <c r="T13" s="16">
        <v>-16758.28571428571</v>
      </c>
      <c r="U13" s="16">
        <v>-1996.6371428571426</v>
      </c>
      <c r="V13" s="105">
        <f t="shared" si="0"/>
        <v>16.080000000002883</v>
      </c>
      <c r="X13" s="106">
        <f t="shared" si="2"/>
        <v>-16638.642857142855</v>
      </c>
      <c r="Y13" s="106">
        <f t="shared" si="1"/>
        <v>-1996.6371428571426</v>
      </c>
    </row>
    <row r="14" spans="1:25">
      <c r="A14" s="17">
        <v>43377</v>
      </c>
      <c r="B14" s="17" t="s">
        <v>443</v>
      </c>
      <c r="C14" s="14" t="s">
        <v>468</v>
      </c>
      <c r="D14" s="16">
        <v>12110</v>
      </c>
      <c r="E14" s="16">
        <v>0</v>
      </c>
      <c r="F14" s="16">
        <v>-7.2900000000008731</v>
      </c>
      <c r="G14" s="16"/>
      <c r="H14" s="16"/>
      <c r="I14" s="16">
        <v>40.404734999999995</v>
      </c>
      <c r="J14" s="16">
        <v>9.3964499999999997</v>
      </c>
      <c r="K14" s="16">
        <v>1829.4888149999999</v>
      </c>
      <c r="L14" s="16">
        <v>56.249999999999993</v>
      </c>
      <c r="M14" s="16">
        <v>0</v>
      </c>
      <c r="N14" s="16">
        <v>0</v>
      </c>
      <c r="O14" s="16">
        <v>0</v>
      </c>
      <c r="P14" s="16">
        <v>2389</v>
      </c>
      <c r="Q14" s="16">
        <v>-1277.9172000000001</v>
      </c>
      <c r="R14" s="16">
        <v>-225.51480000000001</v>
      </c>
      <c r="S14" s="16">
        <v>-375.858</v>
      </c>
      <c r="T14" s="16">
        <v>-21305.749999999996</v>
      </c>
      <c r="U14" s="16">
        <v>-2549.9399999999996</v>
      </c>
      <c r="V14" s="105">
        <f t="shared" si="0"/>
        <v>-9307.7299999999959</v>
      </c>
      <c r="X14" s="106">
        <f t="shared" si="2"/>
        <v>-21249.499999999996</v>
      </c>
      <c r="Y14" s="106">
        <f t="shared" si="1"/>
        <v>-2549.9399999999996</v>
      </c>
    </row>
    <row r="15" spans="1:25">
      <c r="A15" s="17">
        <v>43378</v>
      </c>
      <c r="B15" s="17" t="s">
        <v>442</v>
      </c>
      <c r="C15" s="14" t="s">
        <v>469</v>
      </c>
      <c r="D15" s="16">
        <v>25452</v>
      </c>
      <c r="E15" s="16">
        <v>0</v>
      </c>
      <c r="F15" s="16">
        <v>-0.95999999999912689</v>
      </c>
      <c r="G15" s="16"/>
      <c r="H15" s="16"/>
      <c r="I15" s="16">
        <v>106.89154999999998</v>
      </c>
      <c r="J15" s="16">
        <v>24.858499999999999</v>
      </c>
      <c r="K15" s="16">
        <v>4839.9499499999993</v>
      </c>
      <c r="L15" s="16">
        <v>84.285714285714278</v>
      </c>
      <c r="M15" s="16">
        <v>0</v>
      </c>
      <c r="N15" s="16">
        <v>0</v>
      </c>
      <c r="O15" s="16">
        <v>226.26785714285711</v>
      </c>
      <c r="P15" s="16">
        <v>805</v>
      </c>
      <c r="Q15" s="16">
        <v>-1588.9015999999999</v>
      </c>
      <c r="R15" s="16">
        <v>-280.39440000000002</v>
      </c>
      <c r="S15" s="16">
        <v>-467.32400000000001</v>
      </c>
      <c r="T15" s="16">
        <v>-26068.93</v>
      </c>
      <c r="U15" s="16">
        <v>-3091.0051714285714</v>
      </c>
      <c r="V15" s="105">
        <f t="shared" si="0"/>
        <v>41.738399999996091</v>
      </c>
      <c r="X15" s="106">
        <f t="shared" si="2"/>
        <v>-25758.376428571428</v>
      </c>
      <c r="Y15" s="106">
        <f t="shared" si="1"/>
        <v>-3091.0051714285714</v>
      </c>
    </row>
    <row r="16" spans="1:25">
      <c r="A16" s="17">
        <v>43378</v>
      </c>
      <c r="B16" s="17" t="s">
        <v>443</v>
      </c>
      <c r="C16" s="14" t="s">
        <v>470</v>
      </c>
      <c r="D16" s="16">
        <v>26276</v>
      </c>
      <c r="E16" s="16">
        <v>0</v>
      </c>
      <c r="F16" s="16">
        <v>-0.40000000000145519</v>
      </c>
      <c r="G16" s="16"/>
      <c r="H16" s="16"/>
      <c r="I16" s="16">
        <v>243.42515</v>
      </c>
      <c r="J16" s="16">
        <v>56.610500000000002</v>
      </c>
      <c r="K16" s="16">
        <v>11022.064350000001</v>
      </c>
      <c r="L16" s="16">
        <v>56.473214285714278</v>
      </c>
      <c r="M16" s="16">
        <v>53.571428571428569</v>
      </c>
      <c r="N16" s="16">
        <v>0</v>
      </c>
      <c r="O16" s="16">
        <v>298.35714285714283</v>
      </c>
      <c r="P16" s="16">
        <v>2587</v>
      </c>
      <c r="Q16" s="16">
        <v>-1807.1815999999999</v>
      </c>
      <c r="R16" s="16">
        <v>-318.9144</v>
      </c>
      <c r="S16" s="16">
        <v>-531.524</v>
      </c>
      <c r="T16" s="16">
        <v>-33865.714999999997</v>
      </c>
      <c r="U16" s="16">
        <v>-4014.8775857142846</v>
      </c>
      <c r="V16" s="105">
        <f t="shared" si="0"/>
        <v>54.889200000010533</v>
      </c>
      <c r="X16" s="106">
        <f t="shared" si="2"/>
        <v>-33457.313214285707</v>
      </c>
      <c r="Y16" s="106">
        <f t="shared" si="1"/>
        <v>-4014.8775857142846</v>
      </c>
    </row>
    <row r="17" spans="1:28">
      <c r="A17" s="17">
        <v>43379</v>
      </c>
      <c r="B17" s="17" t="s">
        <v>442</v>
      </c>
      <c r="C17" s="14" t="s">
        <v>471</v>
      </c>
      <c r="D17" s="16"/>
      <c r="E17" s="16">
        <v>0</v>
      </c>
      <c r="F17" s="16">
        <v>0</v>
      </c>
      <c r="G17" s="16"/>
      <c r="H17" s="16"/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/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05">
        <f t="shared" si="0"/>
        <v>0</v>
      </c>
      <c r="X17" s="106">
        <f t="shared" si="2"/>
        <v>0</v>
      </c>
      <c r="Y17" s="106">
        <f t="shared" si="1"/>
        <v>0</v>
      </c>
    </row>
    <row r="18" spans="1:28">
      <c r="A18" s="17">
        <v>43379</v>
      </c>
      <c r="B18" s="17" t="s">
        <v>443</v>
      </c>
      <c r="C18" s="14" t="s">
        <v>472</v>
      </c>
      <c r="D18" s="16">
        <v>10225</v>
      </c>
      <c r="E18" s="16">
        <v>0</v>
      </c>
      <c r="F18" s="16">
        <v>-0.55999999999949068</v>
      </c>
      <c r="G18" s="16"/>
      <c r="H18" s="16"/>
      <c r="I18" s="16">
        <v>68.417514999999995</v>
      </c>
      <c r="J18" s="16">
        <v>15.911050000000001</v>
      </c>
      <c r="K18" s="16">
        <v>3097.8814349999998</v>
      </c>
      <c r="L18" s="16">
        <v>55.357142857142854</v>
      </c>
      <c r="M18" s="16">
        <v>0</v>
      </c>
      <c r="N18" s="16">
        <v>0</v>
      </c>
      <c r="O18" s="16">
        <v>269.05357142857139</v>
      </c>
      <c r="P18" s="16">
        <v>3515</v>
      </c>
      <c r="Q18" s="16">
        <v>-755.33720000000005</v>
      </c>
      <c r="R18" s="16">
        <v>-133.29480000000001</v>
      </c>
      <c r="S18" s="16">
        <v>-222.15800000000002</v>
      </c>
      <c r="T18" s="16">
        <v>-14402.320714285714</v>
      </c>
      <c r="U18" s="16">
        <v>-1689.3491999999999</v>
      </c>
      <c r="V18" s="105">
        <f t="shared" si="0"/>
        <v>43.600799999997207</v>
      </c>
      <c r="X18" s="106">
        <f t="shared" si="2"/>
        <v>-14077.91</v>
      </c>
      <c r="Y18" s="106">
        <f t="shared" si="1"/>
        <v>-1689.3491999999999</v>
      </c>
    </row>
    <row r="19" spans="1:28">
      <c r="A19" s="17">
        <v>43380</v>
      </c>
      <c r="B19" s="17" t="s">
        <v>442</v>
      </c>
      <c r="C19" s="14" t="s">
        <v>473</v>
      </c>
      <c r="D19" s="16"/>
      <c r="E19" s="16"/>
      <c r="F19" s="16">
        <v>0</v>
      </c>
      <c r="G19" s="16"/>
      <c r="H19" s="16"/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/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05">
        <f t="shared" si="0"/>
        <v>0</v>
      </c>
      <c r="X19" s="106">
        <f t="shared" si="2"/>
        <v>0</v>
      </c>
      <c r="Y19" s="106">
        <f t="shared" si="1"/>
        <v>0</v>
      </c>
    </row>
    <row r="20" spans="1:28">
      <c r="A20" s="17">
        <v>43380</v>
      </c>
      <c r="B20" s="17" t="s">
        <v>443</v>
      </c>
      <c r="C20" s="14" t="s">
        <v>474</v>
      </c>
      <c r="D20" s="16"/>
      <c r="E20" s="16"/>
      <c r="F20" s="16">
        <v>0</v>
      </c>
      <c r="G20" s="16"/>
      <c r="H20" s="16"/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/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05">
        <f t="shared" si="0"/>
        <v>0</v>
      </c>
      <c r="X20" s="106">
        <f t="shared" si="2"/>
        <v>0</v>
      </c>
      <c r="Y20" s="106">
        <f t="shared" si="1"/>
        <v>0</v>
      </c>
    </row>
    <row r="21" spans="1:28">
      <c r="A21" s="17">
        <v>43381</v>
      </c>
      <c r="B21" s="17" t="s">
        <v>442</v>
      </c>
      <c r="C21" s="14" t="s">
        <v>475</v>
      </c>
      <c r="D21" s="16">
        <v>18478</v>
      </c>
      <c r="E21" s="16">
        <v>0.61000000000058208</v>
      </c>
      <c r="F21" s="16">
        <v>0</v>
      </c>
      <c r="G21" s="16"/>
      <c r="H21" s="16"/>
      <c r="I21" s="16">
        <v>92.364215000000002</v>
      </c>
      <c r="J21" s="16">
        <v>21.480050000000002</v>
      </c>
      <c r="K21" s="16">
        <v>4182.1657350000005</v>
      </c>
      <c r="L21" s="16">
        <v>0</v>
      </c>
      <c r="M21" s="16">
        <v>0</v>
      </c>
      <c r="N21" s="16">
        <v>0</v>
      </c>
      <c r="O21" s="16">
        <v>203.12499999999997</v>
      </c>
      <c r="P21" s="16">
        <v>490</v>
      </c>
      <c r="Q21" s="16">
        <v>-1222.3815999999999</v>
      </c>
      <c r="R21" s="16">
        <v>-215.71439999999998</v>
      </c>
      <c r="S21" s="16">
        <v>-359.524</v>
      </c>
      <c r="T21" s="16">
        <v>-19345.714285714283</v>
      </c>
      <c r="U21" s="16">
        <v>-2297.110714285714</v>
      </c>
      <c r="V21" s="105">
        <f t="shared" si="0"/>
        <v>27.300000000003365</v>
      </c>
      <c r="X21" s="106">
        <f t="shared" si="2"/>
        <v>-19142.589285714283</v>
      </c>
      <c r="Y21" s="106">
        <f t="shared" si="1"/>
        <v>-2297.110714285714</v>
      </c>
    </row>
    <row r="22" spans="1:28">
      <c r="A22" s="17">
        <v>43381</v>
      </c>
      <c r="B22" s="17" t="s">
        <v>443</v>
      </c>
      <c r="C22" s="14" t="s">
        <v>476</v>
      </c>
      <c r="D22" s="16">
        <v>16345</v>
      </c>
      <c r="E22" s="16">
        <v>2.9099999999998545</v>
      </c>
      <c r="F22" s="16">
        <v>0</v>
      </c>
      <c r="G22" s="16"/>
      <c r="H22" s="16"/>
      <c r="I22" s="16">
        <v>152.54249999999999</v>
      </c>
      <c r="J22" s="16">
        <v>35.475000000000001</v>
      </c>
      <c r="K22" s="16">
        <v>6906.9825000000001</v>
      </c>
      <c r="L22" s="16">
        <v>11.830357142857142</v>
      </c>
      <c r="M22" s="16">
        <v>0</v>
      </c>
      <c r="N22" s="16">
        <v>0</v>
      </c>
      <c r="O22" s="16">
        <v>29.499999999999996</v>
      </c>
      <c r="P22" s="16">
        <v>2508</v>
      </c>
      <c r="Q22" s="16">
        <v>-1243.7336</v>
      </c>
      <c r="R22" s="16">
        <v>-219.48240000000001</v>
      </c>
      <c r="S22" s="16">
        <v>-365.80400000000003</v>
      </c>
      <c r="T22" s="16">
        <v>-21573.772499999999</v>
      </c>
      <c r="U22" s="16">
        <v>-2583.8930571428568</v>
      </c>
      <c r="V22" s="105">
        <f t="shared" si="0"/>
        <v>5.5547999999985223</v>
      </c>
      <c r="X22" s="106">
        <f t="shared" si="2"/>
        <v>-21532.44214285714</v>
      </c>
      <c r="Y22" s="106">
        <f t="shared" si="1"/>
        <v>-2583.8930571428568</v>
      </c>
    </row>
    <row r="23" spans="1:28">
      <c r="A23" s="17">
        <v>43382</v>
      </c>
      <c r="B23" s="17" t="s">
        <v>442</v>
      </c>
      <c r="C23" s="14" t="s">
        <v>477</v>
      </c>
      <c r="D23" s="16">
        <v>12720</v>
      </c>
      <c r="E23" s="16">
        <v>0</v>
      </c>
      <c r="F23" s="16">
        <v>-5.4799999999995634</v>
      </c>
      <c r="G23" s="16"/>
      <c r="H23" s="16"/>
      <c r="I23" s="16">
        <v>119.55719999999999</v>
      </c>
      <c r="J23" s="16">
        <v>27.804000000000002</v>
      </c>
      <c r="K23" s="16">
        <v>5413.4387999999999</v>
      </c>
      <c r="L23" s="16">
        <v>20.089285714285712</v>
      </c>
      <c r="M23" s="16">
        <v>0</v>
      </c>
      <c r="N23" s="16">
        <v>0</v>
      </c>
      <c r="O23" s="16">
        <v>147.88392857142856</v>
      </c>
      <c r="P23" s="16">
        <v>2405</v>
      </c>
      <c r="Q23" s="16">
        <v>-1007.9844000000001</v>
      </c>
      <c r="R23" s="16">
        <v>-177.87960000000001</v>
      </c>
      <c r="S23" s="16">
        <v>-296.46600000000001</v>
      </c>
      <c r="T23" s="16">
        <v>-17288.878928571427</v>
      </c>
      <c r="U23" s="16">
        <v>-2054.5086857142855</v>
      </c>
      <c r="V23" s="105">
        <f t="shared" si="0"/>
        <v>22.575599999999667</v>
      </c>
      <c r="X23" s="106">
        <f t="shared" si="2"/>
        <v>-17120.905714285713</v>
      </c>
      <c r="Y23" s="106">
        <f t="shared" si="1"/>
        <v>-2054.5086857142855</v>
      </c>
    </row>
    <row r="24" spans="1:28">
      <c r="A24" s="17">
        <v>43382</v>
      </c>
      <c r="B24" s="17" t="s">
        <v>443</v>
      </c>
      <c r="C24" s="14" t="s">
        <v>478</v>
      </c>
      <c r="D24" s="16">
        <v>5674</v>
      </c>
      <c r="E24" s="16">
        <v>0.89000000000032742</v>
      </c>
      <c r="F24" s="16">
        <v>0</v>
      </c>
      <c r="G24" s="16"/>
      <c r="H24" s="16"/>
      <c r="I24" s="16">
        <v>107.44926</v>
      </c>
      <c r="J24" s="16">
        <v>24.988200000000003</v>
      </c>
      <c r="K24" s="16">
        <v>4865.2025400000002</v>
      </c>
      <c r="L24" s="16">
        <v>0</v>
      </c>
      <c r="M24" s="16">
        <v>0</v>
      </c>
      <c r="N24" s="16">
        <v>0</v>
      </c>
      <c r="O24" s="16">
        <v>0</v>
      </c>
      <c r="P24" s="16">
        <v>3112</v>
      </c>
      <c r="Q24" s="16">
        <v>-581.7604</v>
      </c>
      <c r="R24" s="16">
        <v>-102.66359999999999</v>
      </c>
      <c r="S24" s="16">
        <v>-171.10599999999999</v>
      </c>
      <c r="T24" s="16">
        <v>-11543.749999999998</v>
      </c>
      <c r="U24" s="16">
        <v>-1385.2499999999998</v>
      </c>
      <c r="V24" s="105">
        <f t="shared" si="0"/>
        <v>3.865352482534945E-12</v>
      </c>
      <c r="X24" s="106">
        <f t="shared" si="2"/>
        <v>-11543.749999999998</v>
      </c>
      <c r="Y24" s="106">
        <f t="shared" si="1"/>
        <v>-1385.2499999999998</v>
      </c>
    </row>
    <row r="25" spans="1:28">
      <c r="A25" s="17">
        <v>43383</v>
      </c>
      <c r="B25" s="17" t="s">
        <v>442</v>
      </c>
      <c r="C25" s="14" t="s">
        <v>479</v>
      </c>
      <c r="D25" s="16">
        <v>7504</v>
      </c>
      <c r="E25" s="16">
        <v>0</v>
      </c>
      <c r="F25" s="16">
        <v>-2.7700000000004366</v>
      </c>
      <c r="G25" s="16"/>
      <c r="H25" s="16">
        <v>500</v>
      </c>
      <c r="I25" s="16">
        <v>124.36997499999998</v>
      </c>
      <c r="J25" s="16">
        <v>28.923249999999999</v>
      </c>
      <c r="K25" s="16">
        <v>5631.3567750000002</v>
      </c>
      <c r="L25" s="16">
        <v>544.19642857142856</v>
      </c>
      <c r="M25" s="16">
        <v>0</v>
      </c>
      <c r="N25" s="16">
        <v>0</v>
      </c>
      <c r="O25" s="16">
        <v>115.08035714285712</v>
      </c>
      <c r="P25" s="16">
        <v>526</v>
      </c>
      <c r="Q25" s="16">
        <v>-692.11080000000004</v>
      </c>
      <c r="R25" s="16">
        <v>-122.13720000000001</v>
      </c>
      <c r="S25" s="16">
        <v>-203.56200000000001</v>
      </c>
      <c r="T25" s="16">
        <v>-12447.190357142857</v>
      </c>
      <c r="U25" s="16">
        <v>-1414.5496285714285</v>
      </c>
      <c r="V25" s="105">
        <f t="shared" si="0"/>
        <v>91.606800000000021</v>
      </c>
      <c r="X25" s="106">
        <f t="shared" si="2"/>
        <v>-11787.913571428571</v>
      </c>
      <c r="Y25" s="106">
        <f t="shared" si="1"/>
        <v>-1414.5496285714285</v>
      </c>
    </row>
    <row r="26" spans="1:28">
      <c r="A26" s="17">
        <v>43383</v>
      </c>
      <c r="B26" s="17" t="s">
        <v>443</v>
      </c>
      <c r="C26" s="14" t="s">
        <v>480</v>
      </c>
      <c r="D26" s="16">
        <v>10830</v>
      </c>
      <c r="E26" s="16">
        <v>0</v>
      </c>
      <c r="F26" s="16">
        <v>-3.1700000000000728</v>
      </c>
      <c r="G26" s="16"/>
      <c r="H26" s="16"/>
      <c r="I26" s="16">
        <v>149.91262</v>
      </c>
      <c r="J26" s="16">
        <v>34.863400000000006</v>
      </c>
      <c r="K26" s="16">
        <v>6787.90398</v>
      </c>
      <c r="L26" s="16">
        <v>82.589285714285708</v>
      </c>
      <c r="M26" s="16">
        <v>0</v>
      </c>
      <c r="N26" s="16">
        <v>0</v>
      </c>
      <c r="O26" s="16">
        <v>0</v>
      </c>
      <c r="P26" s="16">
        <v>3595</v>
      </c>
      <c r="Q26" s="16">
        <v>-953.3667999999999</v>
      </c>
      <c r="R26" s="16">
        <v>-168.24119999999999</v>
      </c>
      <c r="S26" s="16">
        <v>-280.40199999999999</v>
      </c>
      <c r="T26" s="16">
        <v>-17923.125</v>
      </c>
      <c r="U26" s="16">
        <v>-2140.8642857142854</v>
      </c>
      <c r="V26" s="105">
        <f t="shared" si="0"/>
        <v>11.100000000000819</v>
      </c>
      <c r="X26" s="106">
        <f t="shared" si="2"/>
        <v>-17840.535714285714</v>
      </c>
      <c r="Y26" s="106">
        <f t="shared" si="1"/>
        <v>-2140.8642857142854</v>
      </c>
    </row>
    <row r="27" spans="1:28">
      <c r="A27" s="17">
        <v>43384</v>
      </c>
      <c r="B27" s="17" t="s">
        <v>442</v>
      </c>
      <c r="C27" s="14" t="s">
        <v>481</v>
      </c>
      <c r="D27" s="16">
        <v>13530</v>
      </c>
      <c r="E27" s="16">
        <v>0</v>
      </c>
      <c r="F27" s="16">
        <v>-0.31999999999970896</v>
      </c>
      <c r="G27" s="16"/>
      <c r="H27" s="16"/>
      <c r="I27" s="16">
        <v>80.18253</v>
      </c>
      <c r="J27" s="16">
        <v>18.647100000000002</v>
      </c>
      <c r="K27" s="16">
        <v>3630.5903699999999</v>
      </c>
      <c r="L27" s="16">
        <v>0</v>
      </c>
      <c r="M27" s="16">
        <v>0</v>
      </c>
      <c r="N27" s="16">
        <v>0</v>
      </c>
      <c r="O27" s="16">
        <v>235.01785714285714</v>
      </c>
      <c r="P27" s="16">
        <v>1348</v>
      </c>
      <c r="Q27" s="16">
        <v>-1019.8096</v>
      </c>
      <c r="R27" s="16">
        <v>-179.96639999999999</v>
      </c>
      <c r="S27" s="16">
        <v>-299.94400000000002</v>
      </c>
      <c r="T27" s="16">
        <v>-19120.083571428568</v>
      </c>
      <c r="U27" s="16">
        <v>-2266.2078857142851</v>
      </c>
      <c r="V27" s="105">
        <f t="shared" si="0"/>
        <v>-4043.8935999999967</v>
      </c>
      <c r="X27" s="106">
        <f t="shared" si="2"/>
        <v>-18885.065714285709</v>
      </c>
      <c r="Y27" s="106">
        <f t="shared" si="1"/>
        <v>-2266.2078857142851</v>
      </c>
    </row>
    <row r="28" spans="1:28">
      <c r="A28" s="17">
        <v>43384</v>
      </c>
      <c r="B28" s="17" t="s">
        <v>443</v>
      </c>
      <c r="C28" s="14" t="s">
        <v>482</v>
      </c>
      <c r="D28" s="16">
        <v>10770</v>
      </c>
      <c r="E28" s="16">
        <v>0</v>
      </c>
      <c r="F28" s="16">
        <v>-0.11000000000058208</v>
      </c>
      <c r="G28" s="16"/>
      <c r="H28" s="16"/>
      <c r="I28" s="16">
        <v>80.18253</v>
      </c>
      <c r="J28" s="16">
        <v>18.647100000000002</v>
      </c>
      <c r="K28" s="16">
        <v>3630.5903699999999</v>
      </c>
      <c r="L28" s="16">
        <v>165.17857142857142</v>
      </c>
      <c r="M28" s="16">
        <v>6.2499999999999991</v>
      </c>
      <c r="N28" s="16">
        <v>0</v>
      </c>
      <c r="O28" s="16">
        <v>31.285714285714281</v>
      </c>
      <c r="P28" s="16">
        <v>1105</v>
      </c>
      <c r="Q28" s="16">
        <v>-750.97840000000008</v>
      </c>
      <c r="R28" s="16">
        <v>-132.52560000000003</v>
      </c>
      <c r="S28" s="16">
        <v>-220.87600000000003</v>
      </c>
      <c r="T28" s="16">
        <v>-13124.75464285714</v>
      </c>
      <c r="U28" s="16">
        <v>-1550.6448428571427</v>
      </c>
      <c r="V28" s="105">
        <f t="shared" si="0"/>
        <v>27.244799999999714</v>
      </c>
      <c r="X28" s="106">
        <f t="shared" si="2"/>
        <v>-12922.040357142856</v>
      </c>
      <c r="Y28" s="106">
        <f t="shared" si="1"/>
        <v>-1550.6448428571427</v>
      </c>
    </row>
    <row r="29" spans="1:28">
      <c r="A29" s="17">
        <v>43385</v>
      </c>
      <c r="B29" s="17" t="s">
        <v>442</v>
      </c>
      <c r="C29" s="14" t="s">
        <v>483</v>
      </c>
      <c r="D29" s="16">
        <v>18890</v>
      </c>
      <c r="E29" s="16">
        <v>0</v>
      </c>
      <c r="F29" s="16">
        <v>-1.9099999999998545</v>
      </c>
      <c r="G29" s="16"/>
      <c r="H29" s="16"/>
      <c r="I29" s="16">
        <v>234.83353499999998</v>
      </c>
      <c r="J29" s="16">
        <v>54.612450000000003</v>
      </c>
      <c r="K29" s="16">
        <v>10633.044014999999</v>
      </c>
      <c r="L29" s="16">
        <v>0</v>
      </c>
      <c r="M29" s="16">
        <v>0</v>
      </c>
      <c r="N29" s="16">
        <v>0</v>
      </c>
      <c r="O29" s="16">
        <v>116.18749999999999</v>
      </c>
      <c r="P29" s="16">
        <v>940</v>
      </c>
      <c r="Q29" s="16">
        <v>-1603.2972</v>
      </c>
      <c r="R29" s="16">
        <v>-282.9348</v>
      </c>
      <c r="S29" s="16">
        <v>-471.55799999999999</v>
      </c>
      <c r="T29" s="16">
        <v>-25452.95035714285</v>
      </c>
      <c r="U29" s="16">
        <v>-3040.4115428571417</v>
      </c>
      <c r="V29" s="105">
        <f t="shared" si="0"/>
        <v>15.615600000008726</v>
      </c>
      <c r="X29" s="106">
        <f t="shared" si="2"/>
        <v>-25336.76285714285</v>
      </c>
      <c r="Y29" s="106">
        <f t="shared" si="1"/>
        <v>-3040.4115428571417</v>
      </c>
      <c r="Z29" s="105"/>
      <c r="AB29" s="105"/>
    </row>
    <row r="30" spans="1:28">
      <c r="A30" s="17">
        <v>43385</v>
      </c>
      <c r="B30" s="17" t="s">
        <v>443</v>
      </c>
      <c r="C30" s="14" t="s">
        <v>484</v>
      </c>
      <c r="D30" s="16">
        <v>17954</v>
      </c>
      <c r="E30" s="16">
        <v>1.9000000000014552</v>
      </c>
      <c r="F30" s="16">
        <v>0</v>
      </c>
      <c r="G30" s="16"/>
      <c r="H30" s="16"/>
      <c r="I30" s="16">
        <v>59.712379999999996</v>
      </c>
      <c r="J30" s="16">
        <v>13.886600000000001</v>
      </c>
      <c r="K30" s="16">
        <v>2703.7210200000004</v>
      </c>
      <c r="L30" s="16">
        <v>82.589285714285708</v>
      </c>
      <c r="M30" s="16">
        <v>0</v>
      </c>
      <c r="N30" s="16">
        <v>0</v>
      </c>
      <c r="O30" s="16">
        <v>105.23214285714285</v>
      </c>
      <c r="P30" s="16">
        <v>2686</v>
      </c>
      <c r="Q30" s="16">
        <v>-1084.1171999999999</v>
      </c>
      <c r="R30" s="16">
        <v>-191.31479999999999</v>
      </c>
      <c r="S30" s="16">
        <v>-318.858</v>
      </c>
      <c r="T30" s="16">
        <v>-19651.827499999996</v>
      </c>
      <c r="U30" s="16">
        <v>-2335.6807285714281</v>
      </c>
      <c r="V30" s="105">
        <f t="shared" si="0"/>
        <v>25.243200000007619</v>
      </c>
      <c r="X30" s="106">
        <f t="shared" si="2"/>
        <v>-19464.006071428568</v>
      </c>
      <c r="Y30" s="106">
        <f t="shared" si="1"/>
        <v>-2335.6807285714281</v>
      </c>
    </row>
    <row r="31" spans="1:28">
      <c r="A31" s="17">
        <v>43386</v>
      </c>
      <c r="B31" s="17" t="s">
        <v>442</v>
      </c>
      <c r="C31" s="14" t="s">
        <v>485</v>
      </c>
      <c r="D31" s="16"/>
      <c r="E31" s="16">
        <v>0</v>
      </c>
      <c r="F31" s="16">
        <v>0</v>
      </c>
      <c r="G31" s="16"/>
      <c r="H31" s="16"/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/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05">
        <f t="shared" si="0"/>
        <v>0</v>
      </c>
      <c r="X31" s="106">
        <f t="shared" si="2"/>
        <v>0</v>
      </c>
      <c r="Y31" s="106">
        <f t="shared" si="1"/>
        <v>0</v>
      </c>
    </row>
    <row r="32" spans="1:28">
      <c r="A32" s="17">
        <v>43386</v>
      </c>
      <c r="B32" s="17" t="s">
        <v>443</v>
      </c>
      <c r="C32" s="14" t="s">
        <v>486</v>
      </c>
      <c r="D32" s="16">
        <v>3142</v>
      </c>
      <c r="E32" s="16">
        <v>0</v>
      </c>
      <c r="F32" s="16">
        <v>-2.4400000000000546</v>
      </c>
      <c r="G32" s="16"/>
      <c r="H32" s="16"/>
      <c r="I32" s="16">
        <v>44.249579999999995</v>
      </c>
      <c r="J32" s="16">
        <v>10.2906</v>
      </c>
      <c r="K32" s="16">
        <v>2003.5798199999999</v>
      </c>
      <c r="L32" s="16">
        <v>0</v>
      </c>
      <c r="M32" s="16">
        <v>0</v>
      </c>
      <c r="N32" s="16">
        <v>0</v>
      </c>
      <c r="O32" s="16">
        <v>107.625</v>
      </c>
      <c r="P32" s="16">
        <v>4960</v>
      </c>
      <c r="Q32" s="16">
        <v>-149.96720000000002</v>
      </c>
      <c r="R32" s="16">
        <v>-26.4648</v>
      </c>
      <c r="S32" s="16">
        <v>-44.108000000000004</v>
      </c>
      <c r="T32" s="16">
        <v>-8967.1564285714248</v>
      </c>
      <c r="U32" s="16">
        <v>-1063.143771428571</v>
      </c>
      <c r="V32" s="105">
        <f t="shared" si="0"/>
        <v>14.464800000005425</v>
      </c>
      <c r="X32" s="106">
        <f t="shared" si="2"/>
        <v>-8859.5314285714248</v>
      </c>
      <c r="Y32" s="106">
        <f t="shared" si="1"/>
        <v>-1063.143771428571</v>
      </c>
    </row>
    <row r="33" spans="1:25">
      <c r="A33" s="17">
        <v>43387</v>
      </c>
      <c r="B33" s="17" t="s">
        <v>442</v>
      </c>
      <c r="C33" s="14" t="s">
        <v>487</v>
      </c>
      <c r="D33" s="16"/>
      <c r="E33" s="16"/>
      <c r="F33" s="16">
        <v>0</v>
      </c>
      <c r="G33" s="16">
        <v>0</v>
      </c>
      <c r="H33" s="16"/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/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05">
        <f t="shared" si="0"/>
        <v>0</v>
      </c>
      <c r="X33" s="106">
        <f t="shared" si="2"/>
        <v>0</v>
      </c>
      <c r="Y33" s="106">
        <f t="shared" si="1"/>
        <v>0</v>
      </c>
    </row>
    <row r="34" spans="1:25">
      <c r="A34" s="17">
        <v>43387</v>
      </c>
      <c r="B34" s="17" t="s">
        <v>443</v>
      </c>
      <c r="C34" s="14" t="s">
        <v>488</v>
      </c>
      <c r="D34" s="16"/>
      <c r="E34" s="16"/>
      <c r="F34" s="16">
        <v>0</v>
      </c>
      <c r="G34" s="16"/>
      <c r="H34" s="16"/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/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05">
        <f t="shared" si="0"/>
        <v>0</v>
      </c>
      <c r="X34" s="106">
        <f t="shared" si="2"/>
        <v>0</v>
      </c>
      <c r="Y34" s="106">
        <f t="shared" si="1"/>
        <v>0</v>
      </c>
    </row>
    <row r="35" spans="1:25">
      <c r="A35" s="17">
        <v>43388</v>
      </c>
      <c r="B35" s="17" t="s">
        <v>442</v>
      </c>
      <c r="C35" s="14" t="s">
        <v>489</v>
      </c>
      <c r="D35" s="16">
        <v>15935</v>
      </c>
      <c r="E35" s="16">
        <v>0</v>
      </c>
      <c r="F35" s="16">
        <v>-2.25</v>
      </c>
      <c r="G35" s="16"/>
      <c r="H35" s="16"/>
      <c r="I35" s="16">
        <v>105.02879</v>
      </c>
      <c r="J35" s="16">
        <v>24.425300000000004</v>
      </c>
      <c r="K35" s="16">
        <v>4755.6059100000002</v>
      </c>
      <c r="L35" s="16">
        <v>10.937499999999998</v>
      </c>
      <c r="M35" s="16">
        <v>0</v>
      </c>
      <c r="N35" s="16">
        <v>0</v>
      </c>
      <c r="O35" s="16">
        <v>698.20535714285711</v>
      </c>
      <c r="P35" s="16">
        <v>1389</v>
      </c>
      <c r="Q35" s="16">
        <v>-1139.8432</v>
      </c>
      <c r="R35" s="16">
        <v>-201.14880000000002</v>
      </c>
      <c r="S35" s="16">
        <v>-335.24800000000005</v>
      </c>
      <c r="T35" s="16">
        <v>-18954.911785714281</v>
      </c>
      <c r="U35" s="16">
        <v>-2189.4922714285708</v>
      </c>
      <c r="V35" s="105">
        <f t="shared" si="0"/>
        <v>95.308800000010251</v>
      </c>
      <c r="X35" s="106">
        <f t="shared" si="2"/>
        <v>-18245.768928571422</v>
      </c>
      <c r="Y35" s="106">
        <f t="shared" si="1"/>
        <v>-2189.4922714285708</v>
      </c>
    </row>
    <row r="36" spans="1:25">
      <c r="A36" s="17">
        <v>43388</v>
      </c>
      <c r="B36" s="17" t="s">
        <v>443</v>
      </c>
      <c r="C36" s="14" t="s">
        <v>490</v>
      </c>
      <c r="D36" s="16">
        <v>14866</v>
      </c>
      <c r="E36" s="16">
        <v>0</v>
      </c>
      <c r="F36" s="16">
        <v>-2.0000000000436557E-2</v>
      </c>
      <c r="G36" s="16"/>
      <c r="H36" s="16"/>
      <c r="I36" s="16">
        <v>0</v>
      </c>
      <c r="J36" s="16">
        <v>0</v>
      </c>
      <c r="K36" s="16">
        <v>0</v>
      </c>
      <c r="L36" s="16">
        <v>40.178571428571423</v>
      </c>
      <c r="M36" s="16">
        <v>0</v>
      </c>
      <c r="N36" s="16">
        <v>0</v>
      </c>
      <c r="O36" s="16">
        <v>34.276785714285708</v>
      </c>
      <c r="P36" s="16">
        <v>1126</v>
      </c>
      <c r="Q36" s="16">
        <v>-793.83880000000011</v>
      </c>
      <c r="R36" s="16">
        <v>-140.08920000000001</v>
      </c>
      <c r="S36" s="16">
        <v>-233.48200000000003</v>
      </c>
      <c r="T36" s="16">
        <v>-13301.743928571428</v>
      </c>
      <c r="U36" s="16">
        <v>-1587.2746285714286</v>
      </c>
      <c r="V36" s="105">
        <f t="shared" si="0"/>
        <v>10.006799999999885</v>
      </c>
      <c r="X36" s="106">
        <f t="shared" si="2"/>
        <v>-13227.288571428571</v>
      </c>
      <c r="Y36" s="106">
        <f t="shared" si="1"/>
        <v>-1587.2746285714286</v>
      </c>
    </row>
    <row r="37" spans="1:25">
      <c r="A37" s="17">
        <v>43389</v>
      </c>
      <c r="B37" s="17" t="s">
        <v>442</v>
      </c>
      <c r="C37" s="14" t="s">
        <v>491</v>
      </c>
      <c r="D37" s="16">
        <v>8933</v>
      </c>
      <c r="E37" s="16">
        <v>0</v>
      </c>
      <c r="F37" s="16">
        <v>-1.7800000000006548</v>
      </c>
      <c r="G37" s="16"/>
      <c r="H37" s="16"/>
      <c r="I37" s="16">
        <v>61.125359999999993</v>
      </c>
      <c r="J37" s="16">
        <v>14.215199999999999</v>
      </c>
      <c r="K37" s="16">
        <v>2767.6994399999999</v>
      </c>
      <c r="L37" s="16">
        <v>11.607142857142856</v>
      </c>
      <c r="M37" s="16">
        <v>0</v>
      </c>
      <c r="N37" s="16">
        <v>0</v>
      </c>
      <c r="O37" s="16">
        <v>167.41071428571428</v>
      </c>
      <c r="P37" s="16">
        <v>2291</v>
      </c>
      <c r="Q37" s="16">
        <v>-602.65679999999998</v>
      </c>
      <c r="R37" s="16">
        <v>-106.35120000000001</v>
      </c>
      <c r="S37" s="16">
        <v>-177.25200000000001</v>
      </c>
      <c r="T37" s="16">
        <v>-11924.499999999998</v>
      </c>
      <c r="U37" s="16">
        <v>-1409.4578571428569</v>
      </c>
      <c r="V37" s="105">
        <f t="shared" si="0"/>
        <v>24.060000000001764</v>
      </c>
      <c r="X37" s="106">
        <f t="shared" si="2"/>
        <v>-11745.482142857141</v>
      </c>
      <c r="Y37" s="106">
        <f t="shared" si="1"/>
        <v>-1409.4578571428569</v>
      </c>
    </row>
    <row r="38" spans="1:25">
      <c r="A38" s="17">
        <v>43389</v>
      </c>
      <c r="B38" s="17" t="s">
        <v>443</v>
      </c>
      <c r="C38" s="14" t="s">
        <v>492</v>
      </c>
      <c r="D38" s="16">
        <v>5971</v>
      </c>
      <c r="E38" s="16">
        <v>0.15999999999985448</v>
      </c>
      <c r="F38" s="16">
        <v>0</v>
      </c>
      <c r="G38" s="16"/>
      <c r="H38" s="16"/>
      <c r="I38" s="16">
        <v>36.886045000000003</v>
      </c>
      <c r="J38" s="16">
        <v>8.5781500000000008</v>
      </c>
      <c r="K38" s="16">
        <v>1670.1658050000001</v>
      </c>
      <c r="L38" s="16">
        <v>0</v>
      </c>
      <c r="M38" s="16">
        <v>0</v>
      </c>
      <c r="N38" s="16">
        <v>0</v>
      </c>
      <c r="O38" s="16">
        <v>45.437499999999993</v>
      </c>
      <c r="P38" s="16">
        <v>306</v>
      </c>
      <c r="Q38" s="16">
        <v>-406.78960000000001</v>
      </c>
      <c r="R38" s="16">
        <v>-71.7864</v>
      </c>
      <c r="S38" s="16">
        <v>-119.64400000000001</v>
      </c>
      <c r="T38" s="16">
        <v>-6642.2796428571419</v>
      </c>
      <c r="U38" s="16">
        <v>-791.62105714285701</v>
      </c>
      <c r="V38" s="105">
        <f t="shared" si="0"/>
        <v>6.1068000000017264</v>
      </c>
      <c r="X38" s="106">
        <f t="shared" si="2"/>
        <v>-6596.8421428571419</v>
      </c>
      <c r="Y38" s="106">
        <f t="shared" si="1"/>
        <v>-791.62105714285701</v>
      </c>
    </row>
    <row r="39" spans="1:25">
      <c r="A39" s="17">
        <v>43390</v>
      </c>
      <c r="B39" s="17" t="s">
        <v>442</v>
      </c>
      <c r="C39" s="14" t="s">
        <v>493</v>
      </c>
      <c r="D39" s="16">
        <v>17920</v>
      </c>
      <c r="E39" s="16"/>
      <c r="F39" s="16">
        <v>-0.33000000000174623</v>
      </c>
      <c r="G39" s="16"/>
      <c r="H39" s="16"/>
      <c r="I39" s="16">
        <v>118.54906499999998</v>
      </c>
      <c r="J39" s="16">
        <v>27.56955</v>
      </c>
      <c r="K39" s="16">
        <v>5367.7913849999995</v>
      </c>
      <c r="L39" s="16">
        <v>46.428571428571423</v>
      </c>
      <c r="M39" s="16">
        <v>0</v>
      </c>
      <c r="N39" s="16">
        <v>0</v>
      </c>
      <c r="O39" s="16">
        <v>117.78571428571426</v>
      </c>
      <c r="P39" s="16">
        <v>2120</v>
      </c>
      <c r="Q39" s="16">
        <v>-1210.1687999999999</v>
      </c>
      <c r="R39" s="16">
        <v>-213.5592</v>
      </c>
      <c r="S39" s="16">
        <v>-355.93200000000002</v>
      </c>
      <c r="T39" s="16">
        <v>-21371.222857142857</v>
      </c>
      <c r="U39" s="16">
        <v>-2544.8410285714285</v>
      </c>
      <c r="V39" s="105">
        <f t="shared" si="0"/>
        <v>22.070399999999154</v>
      </c>
      <c r="X39" s="106">
        <f t="shared" si="2"/>
        <v>-21207.008571428571</v>
      </c>
      <c r="Y39" s="106">
        <f t="shared" si="1"/>
        <v>-2544.8410285714285</v>
      </c>
    </row>
    <row r="40" spans="1:25">
      <c r="A40" s="17">
        <v>43390</v>
      </c>
      <c r="B40" s="17" t="s">
        <v>443</v>
      </c>
      <c r="C40" s="14" t="s">
        <v>494</v>
      </c>
      <c r="D40" s="16">
        <v>8151</v>
      </c>
      <c r="E40" s="16"/>
      <c r="F40" s="16">
        <v>-7.999999999992724E-2</v>
      </c>
      <c r="G40" s="16"/>
      <c r="H40" s="16"/>
      <c r="I40" s="16">
        <v>369.91330499999998</v>
      </c>
      <c r="J40" s="16">
        <v>86.026350000000008</v>
      </c>
      <c r="K40" s="16">
        <v>16749.330345000002</v>
      </c>
      <c r="L40" s="16">
        <v>0</v>
      </c>
      <c r="M40" s="16">
        <v>0</v>
      </c>
      <c r="N40" s="16">
        <v>0</v>
      </c>
      <c r="O40" s="16">
        <v>46.241071428571423</v>
      </c>
      <c r="P40" s="16">
        <v>1890</v>
      </c>
      <c r="Q40" s="16">
        <v>-1345.7539999999999</v>
      </c>
      <c r="R40" s="16">
        <v>-237.48599999999999</v>
      </c>
      <c r="S40" s="16">
        <v>-395.81</v>
      </c>
      <c r="T40" s="16">
        <v>-22600.638571428568</v>
      </c>
      <c r="U40" s="16">
        <v>-2706.5276999999992</v>
      </c>
      <c r="V40" s="105">
        <f t="shared" si="0"/>
        <v>6.2148000000047432</v>
      </c>
      <c r="X40" s="106">
        <f t="shared" si="2"/>
        <v>-22554.397499999995</v>
      </c>
      <c r="Y40" s="106">
        <f t="shared" si="1"/>
        <v>-2706.5276999999992</v>
      </c>
    </row>
    <row r="41" spans="1:25">
      <c r="A41" s="17">
        <v>43391</v>
      </c>
      <c r="B41" s="17" t="s">
        <v>442</v>
      </c>
      <c r="C41" s="14" t="s">
        <v>495</v>
      </c>
      <c r="D41" s="16">
        <v>14285</v>
      </c>
      <c r="E41" s="16"/>
      <c r="F41" s="16">
        <v>-0.72999999999956344</v>
      </c>
      <c r="G41" s="16"/>
      <c r="H41" s="16"/>
      <c r="I41" s="16">
        <v>181.26177000000001</v>
      </c>
      <c r="J41" s="16">
        <v>42.153900000000007</v>
      </c>
      <c r="K41" s="16">
        <v>8207.3643300000022</v>
      </c>
      <c r="L41" s="16">
        <v>356.69642857142856</v>
      </c>
      <c r="M41" s="16">
        <v>0</v>
      </c>
      <c r="N41" s="16">
        <v>0</v>
      </c>
      <c r="O41" s="16">
        <v>173.39285714285711</v>
      </c>
      <c r="P41" s="16">
        <v>9028</v>
      </c>
      <c r="Q41" s="16">
        <v>-1213.3036000000002</v>
      </c>
      <c r="R41" s="16">
        <v>-214.11240000000001</v>
      </c>
      <c r="S41" s="16">
        <v>-356.85400000000004</v>
      </c>
      <c r="T41" s="16">
        <v>-27215.389285714282</v>
      </c>
      <c r="U41" s="16">
        <v>-3202.2359999999994</v>
      </c>
      <c r="V41" s="105">
        <f t="shared" si="0"/>
        <v>71.244000000007418</v>
      </c>
      <c r="X41" s="106">
        <f t="shared" si="2"/>
        <v>-26685.299999999996</v>
      </c>
      <c r="Y41" s="106">
        <f t="shared" si="1"/>
        <v>-3202.2359999999994</v>
      </c>
    </row>
    <row r="42" spans="1:25">
      <c r="A42" s="17">
        <v>43391</v>
      </c>
      <c r="B42" s="17" t="s">
        <v>443</v>
      </c>
      <c r="C42" s="14" t="s">
        <v>496</v>
      </c>
      <c r="D42" s="16">
        <v>10655</v>
      </c>
      <c r="E42" s="16"/>
      <c r="F42" s="16">
        <v>-0.8999999999996362</v>
      </c>
      <c r="G42" s="16"/>
      <c r="H42" s="16"/>
      <c r="I42" s="16">
        <v>96.149290000000008</v>
      </c>
      <c r="J42" s="16">
        <v>22.360300000000002</v>
      </c>
      <c r="K42" s="16">
        <v>4353.5504099999998</v>
      </c>
      <c r="L42" s="16">
        <v>275.22321428571428</v>
      </c>
      <c r="M42" s="16">
        <v>0</v>
      </c>
      <c r="N42" s="16">
        <v>0</v>
      </c>
      <c r="O42" s="16">
        <v>38.794642857142854</v>
      </c>
      <c r="P42" s="16">
        <v>895</v>
      </c>
      <c r="Q42" s="16">
        <v>-832.27240000000006</v>
      </c>
      <c r="R42" s="16">
        <v>-146.8716</v>
      </c>
      <c r="S42" s="16">
        <v>-244.78600000000003</v>
      </c>
      <c r="T42" s="16">
        <v>-13488.148214285713</v>
      </c>
      <c r="U42" s="16">
        <v>-1580.8956428571428</v>
      </c>
      <c r="V42" s="105">
        <f t="shared" si="0"/>
        <v>42.204000000000633</v>
      </c>
      <c r="X42" s="106">
        <f t="shared" si="2"/>
        <v>-13174.130357142856</v>
      </c>
      <c r="Y42" s="106">
        <f t="shared" si="1"/>
        <v>-1580.8956428571428</v>
      </c>
    </row>
    <row r="43" spans="1:25">
      <c r="A43" s="17">
        <v>43392</v>
      </c>
      <c r="B43" s="17" t="s">
        <v>442</v>
      </c>
      <c r="C43" s="14" t="s">
        <v>497</v>
      </c>
      <c r="D43" s="16">
        <v>19225</v>
      </c>
      <c r="E43" s="16">
        <v>0</v>
      </c>
      <c r="F43" s="16">
        <v>-0.72999999999956344</v>
      </c>
      <c r="G43" s="16"/>
      <c r="H43" s="16"/>
      <c r="I43" s="16">
        <v>199.27167499999999</v>
      </c>
      <c r="J43" s="16">
        <v>46.342250000000007</v>
      </c>
      <c r="K43" s="16">
        <v>9022.8360750000011</v>
      </c>
      <c r="L43" s="16">
        <v>382.36607142857139</v>
      </c>
      <c r="M43" s="16">
        <v>0</v>
      </c>
      <c r="N43" s="16">
        <v>0</v>
      </c>
      <c r="O43" s="16">
        <v>245.53571428571425</v>
      </c>
      <c r="P43" s="16">
        <v>2235</v>
      </c>
      <c r="Q43" s="16">
        <v>-1512.9864</v>
      </c>
      <c r="R43" s="16">
        <v>-266.99760000000003</v>
      </c>
      <c r="S43" s="16">
        <v>-444.99600000000004</v>
      </c>
      <c r="T43" s="16">
        <v>-26001.428571428572</v>
      </c>
      <c r="U43" s="16">
        <v>-3044.8232142857141</v>
      </c>
      <c r="V43" s="105">
        <f t="shared" si="0"/>
        <v>84.390000000001237</v>
      </c>
      <c r="X43" s="106">
        <f t="shared" si="2"/>
        <v>-25373.526785714286</v>
      </c>
      <c r="Y43" s="106">
        <f t="shared" si="1"/>
        <v>-3044.8232142857141</v>
      </c>
    </row>
    <row r="44" spans="1:25">
      <c r="A44" s="17">
        <v>43392</v>
      </c>
      <c r="B44" s="17" t="s">
        <v>443</v>
      </c>
      <c r="C44" s="14" t="s">
        <v>498</v>
      </c>
      <c r="D44" s="16">
        <v>10036</v>
      </c>
      <c r="E44" s="16">
        <v>0</v>
      </c>
      <c r="F44" s="16">
        <v>-5.0300000000006548</v>
      </c>
      <c r="G44" s="16"/>
      <c r="H44" s="16"/>
      <c r="I44" s="16">
        <v>114.055995</v>
      </c>
      <c r="J44" s="16">
        <v>26.524650000000001</v>
      </c>
      <c r="K44" s="16">
        <v>5164.3493550000003</v>
      </c>
      <c r="L44" s="16">
        <v>10.491071428571427</v>
      </c>
      <c r="M44" s="16">
        <v>0</v>
      </c>
      <c r="N44" s="16">
        <v>0</v>
      </c>
      <c r="O44" s="16">
        <v>98.883928571428555</v>
      </c>
      <c r="P44" s="16">
        <v>1531</v>
      </c>
      <c r="Q44" s="16">
        <v>-769.52200000000016</v>
      </c>
      <c r="R44" s="16">
        <v>-135.79800000000003</v>
      </c>
      <c r="S44" s="16">
        <v>-226.33000000000004</v>
      </c>
      <c r="T44" s="16">
        <v>-14135.089285714286</v>
      </c>
      <c r="U44" s="16">
        <v>-1683.0857142857142</v>
      </c>
      <c r="V44" s="105">
        <f t="shared" si="0"/>
        <v>26.449999999999591</v>
      </c>
      <c r="X44" s="106">
        <f t="shared" si="2"/>
        <v>-14025.714285714286</v>
      </c>
      <c r="Y44" s="106">
        <f t="shared" si="1"/>
        <v>-1683.0857142857142</v>
      </c>
    </row>
    <row r="45" spans="1:25">
      <c r="A45" s="17">
        <v>43393</v>
      </c>
      <c r="B45" s="17" t="s">
        <v>442</v>
      </c>
      <c r="C45" s="14" t="s">
        <v>499</v>
      </c>
      <c r="D45" s="16"/>
      <c r="E45" s="16">
        <v>0</v>
      </c>
      <c r="F45" s="16">
        <v>0</v>
      </c>
      <c r="G45" s="16"/>
      <c r="H45" s="16"/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/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05">
        <f t="shared" si="0"/>
        <v>0</v>
      </c>
      <c r="X45" s="106">
        <f t="shared" si="2"/>
        <v>0</v>
      </c>
      <c r="Y45" s="106">
        <f t="shared" si="1"/>
        <v>0</v>
      </c>
    </row>
    <row r="46" spans="1:25">
      <c r="A46" s="17">
        <v>43393</v>
      </c>
      <c r="B46" s="17" t="s">
        <v>443</v>
      </c>
      <c r="C46" s="14" t="s">
        <v>500</v>
      </c>
      <c r="D46" s="16">
        <v>6060</v>
      </c>
      <c r="E46" s="16">
        <v>0</v>
      </c>
      <c r="F46" s="16">
        <v>-1.0600000000004002</v>
      </c>
      <c r="G46" s="16"/>
      <c r="H46" s="16"/>
      <c r="I46" s="16">
        <v>39.936894999999993</v>
      </c>
      <c r="J46" s="16">
        <v>9.2876499999999993</v>
      </c>
      <c r="K46" s="16">
        <v>1808.3054549999999</v>
      </c>
      <c r="L46" s="16">
        <v>0</v>
      </c>
      <c r="M46" s="16">
        <v>0</v>
      </c>
      <c r="N46" s="16">
        <v>0</v>
      </c>
      <c r="O46" s="16">
        <v>17.008928571428569</v>
      </c>
      <c r="P46" s="16">
        <v>7028</v>
      </c>
      <c r="Q46" s="16">
        <v>-433.12600000000003</v>
      </c>
      <c r="R46" s="16">
        <v>-76.434000000000012</v>
      </c>
      <c r="S46" s="16">
        <v>-127.39000000000001</v>
      </c>
      <c r="T46" s="16">
        <v>-12789.539285714285</v>
      </c>
      <c r="U46" s="16">
        <v>-1532.7036428571425</v>
      </c>
      <c r="V46" s="105">
        <f t="shared" si="0"/>
        <v>2.2860000000021046</v>
      </c>
      <c r="X46" s="106">
        <f t="shared" si="2"/>
        <v>-12772.530357142856</v>
      </c>
      <c r="Y46" s="106">
        <f t="shared" si="1"/>
        <v>-1532.7036428571425</v>
      </c>
    </row>
    <row r="47" spans="1:25">
      <c r="A47" s="18">
        <v>43394</v>
      </c>
      <c r="B47" s="18" t="s">
        <v>442</v>
      </c>
      <c r="C47" s="19" t="s">
        <v>501</v>
      </c>
      <c r="D47" s="21"/>
      <c r="E47" s="21">
        <v>0</v>
      </c>
      <c r="F47" s="21">
        <v>0</v>
      </c>
      <c r="G47" s="21"/>
      <c r="H47" s="21"/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/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105">
        <f t="shared" si="0"/>
        <v>0</v>
      </c>
      <c r="X47" s="106"/>
      <c r="Y47" s="106"/>
    </row>
    <row r="48" spans="1:25">
      <c r="A48" s="18">
        <v>43394</v>
      </c>
      <c r="B48" s="18" t="s">
        <v>443</v>
      </c>
      <c r="C48" s="19" t="s">
        <v>502</v>
      </c>
      <c r="D48" s="21"/>
      <c r="E48" s="21">
        <v>0</v>
      </c>
      <c r="F48" s="21">
        <v>0</v>
      </c>
      <c r="G48" s="21"/>
      <c r="H48" s="21"/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/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105">
        <f t="shared" si="0"/>
        <v>0</v>
      </c>
      <c r="X48" s="106"/>
      <c r="Y48" s="106"/>
    </row>
    <row r="49" spans="1:25">
      <c r="A49" s="18">
        <v>43395</v>
      </c>
      <c r="B49" s="18" t="s">
        <v>442</v>
      </c>
      <c r="C49" s="19" t="s">
        <v>503</v>
      </c>
      <c r="D49" s="21">
        <v>10126</v>
      </c>
      <c r="E49" s="21"/>
      <c r="F49" s="21">
        <v>-0.88999999999941792</v>
      </c>
      <c r="G49" s="21"/>
      <c r="H49" s="21"/>
      <c r="I49" s="21">
        <v>107.704465</v>
      </c>
      <c r="J49" s="21">
        <v>25.047550000000001</v>
      </c>
      <c r="K49" s="21">
        <v>4876.7579850000002</v>
      </c>
      <c r="L49" s="21">
        <v>81.473214285714278</v>
      </c>
      <c r="M49" s="21">
        <v>0</v>
      </c>
      <c r="N49" s="21">
        <v>0</v>
      </c>
      <c r="O49" s="21">
        <v>496.71428571428572</v>
      </c>
      <c r="P49" s="21">
        <v>992</v>
      </c>
      <c r="Q49" s="21">
        <v>-814.63319999999999</v>
      </c>
      <c r="R49" s="21">
        <v>-143.75880000000001</v>
      </c>
      <c r="S49" s="21">
        <v>-239.59800000000001</v>
      </c>
      <c r="T49" s="21">
        <v>-13837.938928571426</v>
      </c>
      <c r="U49" s="21">
        <v>-1591.1701714285712</v>
      </c>
      <c r="V49" s="105">
        <f t="shared" si="0"/>
        <v>77.708400000005668</v>
      </c>
      <c r="X49" s="106"/>
      <c r="Y49" s="106"/>
    </row>
    <row r="50" spans="1:25">
      <c r="A50" s="18">
        <v>43395</v>
      </c>
      <c r="B50" s="18" t="s">
        <v>443</v>
      </c>
      <c r="C50" s="19" t="s">
        <v>504</v>
      </c>
      <c r="D50" s="21">
        <v>5312</v>
      </c>
      <c r="E50" s="21"/>
      <c r="F50" s="21">
        <v>0</v>
      </c>
      <c r="G50" s="21"/>
      <c r="H50" s="21"/>
      <c r="I50" s="21">
        <v>42.272655</v>
      </c>
      <c r="J50" s="21">
        <v>9.8308499999999999</v>
      </c>
      <c r="K50" s="21">
        <v>1914.066495</v>
      </c>
      <c r="L50" s="21">
        <v>11.383928571428571</v>
      </c>
      <c r="M50" s="21">
        <v>0</v>
      </c>
      <c r="N50" s="21">
        <v>0</v>
      </c>
      <c r="O50" s="21">
        <v>42.249999999999993</v>
      </c>
      <c r="P50" s="21">
        <v>4383</v>
      </c>
      <c r="Q50" s="21">
        <v>-361.88239999999996</v>
      </c>
      <c r="R50" s="21">
        <v>-63.861599999999996</v>
      </c>
      <c r="S50" s="21">
        <v>-106.43599999999999</v>
      </c>
      <c r="T50" s="21">
        <v>-9985.18</v>
      </c>
      <c r="U50" s="21">
        <v>-1191.7855285714284</v>
      </c>
      <c r="V50" s="105">
        <f t="shared" si="0"/>
        <v>5.6584000000004835</v>
      </c>
      <c r="X50" s="106"/>
      <c r="Y50" s="106"/>
    </row>
    <row r="51" spans="1:25">
      <c r="A51" s="18">
        <v>43396</v>
      </c>
      <c r="B51" s="18" t="s">
        <v>442</v>
      </c>
      <c r="C51" s="19" t="s">
        <v>505</v>
      </c>
      <c r="D51" s="21">
        <v>16975</v>
      </c>
      <c r="E51" s="21"/>
      <c r="F51" s="21">
        <v>-2.7299999999995634</v>
      </c>
      <c r="G51" s="21"/>
      <c r="H51" s="21"/>
      <c r="I51" s="21">
        <v>69.907679999999999</v>
      </c>
      <c r="J51" s="21">
        <v>16.2576</v>
      </c>
      <c r="K51" s="21">
        <v>3165.3547200000003</v>
      </c>
      <c r="L51" s="21">
        <v>44.196428571428569</v>
      </c>
      <c r="M51" s="21">
        <v>0</v>
      </c>
      <c r="N51" s="21">
        <v>0</v>
      </c>
      <c r="O51" s="21">
        <v>220.29464285714283</v>
      </c>
      <c r="P51" s="21">
        <v>3420</v>
      </c>
      <c r="Q51" s="21">
        <v>-879.2808</v>
      </c>
      <c r="R51" s="21">
        <v>-155.16720000000001</v>
      </c>
      <c r="S51" s="21">
        <v>-258.61200000000002</v>
      </c>
      <c r="T51" s="21">
        <v>-20188.761071428566</v>
      </c>
      <c r="U51" s="21">
        <v>-2390.9123999999997</v>
      </c>
      <c r="V51" s="105">
        <f t="shared" si="0"/>
        <v>35.547600000003058</v>
      </c>
      <c r="X51" s="106"/>
      <c r="Y51" s="106"/>
    </row>
    <row r="52" spans="1:25">
      <c r="A52" s="18">
        <v>43396</v>
      </c>
      <c r="B52" s="18" t="s">
        <v>443</v>
      </c>
      <c r="C52" s="19" t="s">
        <v>506</v>
      </c>
      <c r="D52" s="21">
        <v>10151.25</v>
      </c>
      <c r="E52" s="21"/>
      <c r="F52" s="21">
        <v>0</v>
      </c>
      <c r="G52" s="21"/>
      <c r="H52" s="21"/>
      <c r="I52" s="21">
        <v>49.953959999999995</v>
      </c>
      <c r="J52" s="21">
        <v>11.6172</v>
      </c>
      <c r="K52" s="21">
        <v>2261.8688400000001</v>
      </c>
      <c r="L52" s="21">
        <v>40.624999999999993</v>
      </c>
      <c r="M52" s="21">
        <v>0</v>
      </c>
      <c r="N52" s="21">
        <v>0</v>
      </c>
      <c r="O52" s="21">
        <v>0</v>
      </c>
      <c r="P52" s="21">
        <v>1305</v>
      </c>
      <c r="Q52" s="21">
        <v>-681.10840000000007</v>
      </c>
      <c r="R52" s="21">
        <v>-120.19560000000001</v>
      </c>
      <c r="S52" s="21">
        <v>-200.32600000000002</v>
      </c>
      <c r="T52" s="21">
        <v>-11445.124999999998</v>
      </c>
      <c r="U52" s="21">
        <v>-1368.5399999999997</v>
      </c>
      <c r="V52" s="105">
        <f t="shared" si="0"/>
        <v>5.0200000000033924</v>
      </c>
      <c r="X52" s="106"/>
      <c r="Y52" s="106"/>
    </row>
    <row r="53" spans="1:25">
      <c r="A53" s="18">
        <v>43397</v>
      </c>
      <c r="B53" s="18" t="s">
        <v>442</v>
      </c>
      <c r="C53" s="19" t="s">
        <v>507</v>
      </c>
      <c r="D53" s="21">
        <v>12420</v>
      </c>
      <c r="E53" s="21"/>
      <c r="F53" s="21">
        <v>-1.6900000000005093</v>
      </c>
      <c r="G53" s="21"/>
      <c r="H53" s="21"/>
      <c r="I53" s="21">
        <v>108.78419499999998</v>
      </c>
      <c r="J53" s="21">
        <v>25.298649999999999</v>
      </c>
      <c r="K53" s="21">
        <v>4925.6471549999997</v>
      </c>
      <c r="L53" s="21">
        <v>42.187499999999993</v>
      </c>
      <c r="M53" s="21">
        <v>0</v>
      </c>
      <c r="N53" s="21">
        <v>0</v>
      </c>
      <c r="O53" s="21">
        <v>231.18749999999997</v>
      </c>
      <c r="P53" s="21">
        <v>720</v>
      </c>
      <c r="Q53" s="21">
        <v>-957.83439999999996</v>
      </c>
      <c r="R53" s="21">
        <v>-169.02959999999999</v>
      </c>
      <c r="S53" s="21">
        <v>-281.71600000000001</v>
      </c>
      <c r="T53" s="21">
        <v>-15231.159285714284</v>
      </c>
      <c r="U53" s="21">
        <v>-1794.934114285714</v>
      </c>
      <c r="V53" s="105">
        <f t="shared" si="0"/>
        <v>36.741600000000972</v>
      </c>
      <c r="X53" s="106"/>
      <c r="Y53" s="106"/>
    </row>
    <row r="54" spans="1:25">
      <c r="A54" s="18">
        <v>43397</v>
      </c>
      <c r="B54" s="18" t="s">
        <v>443</v>
      </c>
      <c r="C54" s="19" t="s">
        <v>508</v>
      </c>
      <c r="D54" s="21">
        <v>4635</v>
      </c>
      <c r="E54" s="21"/>
      <c r="F54" s="21">
        <v>-6.9999999999708962E-2</v>
      </c>
      <c r="G54" s="21"/>
      <c r="H54" s="21"/>
      <c r="I54" s="21">
        <v>170.46317999999999</v>
      </c>
      <c r="J54" s="21">
        <v>39.642600000000002</v>
      </c>
      <c r="K54" s="21">
        <v>7718.4142200000006</v>
      </c>
      <c r="L54" s="21">
        <v>11.383928571428571</v>
      </c>
      <c r="M54" s="21">
        <v>0</v>
      </c>
      <c r="N54" s="21">
        <v>0</v>
      </c>
      <c r="O54" s="21">
        <v>0</v>
      </c>
      <c r="P54" s="21">
        <v>4872</v>
      </c>
      <c r="Q54" s="21">
        <v>-473.416</v>
      </c>
      <c r="R54" s="21">
        <v>-83.543999999999997</v>
      </c>
      <c r="S54" s="21">
        <v>-139.24</v>
      </c>
      <c r="T54" s="21">
        <v>-14955.776785714284</v>
      </c>
      <c r="U54" s="21">
        <v>-1793.3271428571425</v>
      </c>
      <c r="V54" s="105">
        <f t="shared" si="0"/>
        <v>1.5300000000006548</v>
      </c>
      <c r="X54" s="106"/>
      <c r="Y54" s="106"/>
    </row>
    <row r="55" spans="1:25">
      <c r="A55" s="18">
        <v>43398</v>
      </c>
      <c r="B55" s="18" t="s">
        <v>442</v>
      </c>
      <c r="C55" s="19" t="s">
        <v>509</v>
      </c>
      <c r="D55" s="21">
        <v>23241</v>
      </c>
      <c r="E55" s="21"/>
      <c r="F55" s="21">
        <v>-0.63000000000101863</v>
      </c>
      <c r="G55" s="21"/>
      <c r="H55" s="21"/>
      <c r="I55" s="21">
        <v>142.518125</v>
      </c>
      <c r="J55" s="21">
        <v>33.143749999999997</v>
      </c>
      <c r="K55" s="21">
        <v>6453.0881250000002</v>
      </c>
      <c r="L55" s="21">
        <v>247.76785714285711</v>
      </c>
      <c r="M55" s="21">
        <v>0</v>
      </c>
      <c r="N55" s="21">
        <v>0</v>
      </c>
      <c r="O55" s="21">
        <v>92.071428571428569</v>
      </c>
      <c r="P55" s="21">
        <v>1099</v>
      </c>
      <c r="Q55" s="21">
        <v>-1646.6948000000002</v>
      </c>
      <c r="R55" s="21">
        <v>-290.59320000000002</v>
      </c>
      <c r="S55" s="21">
        <v>-484.32200000000006</v>
      </c>
      <c r="T55" s="21">
        <v>-25787.013928571429</v>
      </c>
      <c r="U55" s="21">
        <v>-3053.6609571428571</v>
      </c>
      <c r="V55" s="105">
        <f t="shared" si="0"/>
        <v>45.67439999999533</v>
      </c>
      <c r="X55" s="106"/>
      <c r="Y55" s="106"/>
    </row>
    <row r="56" spans="1:25">
      <c r="A56" s="18">
        <v>43398</v>
      </c>
      <c r="B56" s="18" t="s">
        <v>443</v>
      </c>
      <c r="C56" s="19" t="s">
        <v>510</v>
      </c>
      <c r="D56" s="21">
        <v>12955</v>
      </c>
      <c r="E56" s="21"/>
      <c r="F56" s="21">
        <v>-0.55999999999949068</v>
      </c>
      <c r="G56" s="21"/>
      <c r="H56" s="21"/>
      <c r="I56" s="21">
        <v>96.957474999999988</v>
      </c>
      <c r="J56" s="21">
        <v>22.548249999999999</v>
      </c>
      <c r="K56" s="21">
        <v>4390.1442749999997</v>
      </c>
      <c r="L56" s="21">
        <v>330.35714285714283</v>
      </c>
      <c r="M56" s="21">
        <v>0</v>
      </c>
      <c r="N56" s="21">
        <v>0</v>
      </c>
      <c r="O56" s="21">
        <v>0</v>
      </c>
      <c r="P56" s="21">
        <v>225</v>
      </c>
      <c r="Q56" s="21">
        <v>-910.58119999999997</v>
      </c>
      <c r="R56" s="21">
        <v>-160.6908</v>
      </c>
      <c r="S56" s="21">
        <v>-267.81799999999998</v>
      </c>
      <c r="T56" s="21">
        <v>-14888.928571428571</v>
      </c>
      <c r="U56" s="21">
        <v>-1747.0285714285712</v>
      </c>
      <c r="V56" s="105">
        <f t="shared" si="0"/>
        <v>44.399999999999409</v>
      </c>
      <c r="X56" s="106"/>
      <c r="Y56" s="106"/>
    </row>
    <row r="57" spans="1:25">
      <c r="A57" s="18">
        <v>43399</v>
      </c>
      <c r="B57" s="18" t="s">
        <v>442</v>
      </c>
      <c r="C57" s="19" t="s">
        <v>511</v>
      </c>
      <c r="D57" s="21">
        <v>19381</v>
      </c>
      <c r="E57" s="21">
        <v>0</v>
      </c>
      <c r="F57" s="21">
        <v>-1.5299999999988358</v>
      </c>
      <c r="G57" s="21"/>
      <c r="H57" s="21"/>
      <c r="I57" s="21">
        <v>117.72754999999999</v>
      </c>
      <c r="J57" s="21">
        <v>27.378499999999999</v>
      </c>
      <c r="K57" s="21">
        <v>5330.5939500000004</v>
      </c>
      <c r="L57" s="21">
        <v>67.857142857142847</v>
      </c>
      <c r="M57" s="21">
        <v>0</v>
      </c>
      <c r="N57" s="21">
        <v>0</v>
      </c>
      <c r="O57" s="21">
        <v>312.69642857142856</v>
      </c>
      <c r="P57" s="21">
        <v>2835</v>
      </c>
      <c r="Q57" s="21">
        <v>-1367.8336000000002</v>
      </c>
      <c r="R57" s="21">
        <v>-241.38240000000002</v>
      </c>
      <c r="S57" s="21">
        <v>-402.30400000000003</v>
      </c>
      <c r="T57" s="21">
        <v>-23262.253214285709</v>
      </c>
      <c r="U57" s="21">
        <v>-2745.8039571428567</v>
      </c>
      <c r="V57" s="105">
        <f t="shared" si="0"/>
        <v>51.146400000000995</v>
      </c>
      <c r="X57" s="106"/>
      <c r="Y57" s="106"/>
    </row>
    <row r="58" spans="1:25">
      <c r="A58" s="18">
        <v>43399</v>
      </c>
      <c r="B58" s="18" t="s">
        <v>443</v>
      </c>
      <c r="C58" s="19" t="s">
        <v>512</v>
      </c>
      <c r="D58" s="21">
        <v>14031.4</v>
      </c>
      <c r="E58" s="21">
        <v>0</v>
      </c>
      <c r="F58" s="21">
        <v>-2.1099999999987631</v>
      </c>
      <c r="G58" s="21"/>
      <c r="H58" s="21"/>
      <c r="I58" s="21">
        <v>141.90193499999998</v>
      </c>
      <c r="J58" s="21">
        <v>33.000450000000001</v>
      </c>
      <c r="K58" s="21">
        <v>6425.1876150000007</v>
      </c>
      <c r="L58" s="21">
        <v>343.66071428571422</v>
      </c>
      <c r="M58" s="21">
        <v>0</v>
      </c>
      <c r="N58" s="21">
        <v>0</v>
      </c>
      <c r="O58" s="21">
        <v>56.919642857142854</v>
      </c>
      <c r="P58" s="21">
        <v>3525</v>
      </c>
      <c r="Q58" s="21">
        <v>-1141.2303999999999</v>
      </c>
      <c r="R58" s="21">
        <v>-201.39359999999999</v>
      </c>
      <c r="S58" s="21">
        <v>-335.65600000000001</v>
      </c>
      <c r="T58" s="21">
        <v>-20420.457142857136</v>
      </c>
      <c r="U58" s="21">
        <v>-2402.3852142857136</v>
      </c>
      <c r="V58" s="105">
        <f t="shared" si="0"/>
        <v>53.838000000007469</v>
      </c>
      <c r="X58" s="106"/>
      <c r="Y58" s="106"/>
    </row>
    <row r="59" spans="1:25">
      <c r="A59" s="18">
        <v>43400</v>
      </c>
      <c r="B59" s="18" t="s">
        <v>442</v>
      </c>
      <c r="C59" s="19" t="s">
        <v>513</v>
      </c>
      <c r="D59" s="21"/>
      <c r="E59" s="21">
        <v>0</v>
      </c>
      <c r="F59" s="21">
        <v>0</v>
      </c>
      <c r="G59" s="21"/>
      <c r="H59" s="21"/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/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105">
        <f t="shared" si="0"/>
        <v>0</v>
      </c>
      <c r="X59" s="106"/>
      <c r="Y59" s="106"/>
    </row>
    <row r="60" spans="1:25">
      <c r="A60" s="18">
        <v>43400</v>
      </c>
      <c r="B60" s="18" t="s">
        <v>443</v>
      </c>
      <c r="C60" s="19" t="s">
        <v>514</v>
      </c>
      <c r="D60" s="21">
        <v>5001</v>
      </c>
      <c r="E60" s="21">
        <v>0</v>
      </c>
      <c r="F60" s="21">
        <v>-1.1599999999998545</v>
      </c>
      <c r="G60" s="21"/>
      <c r="H60" s="21"/>
      <c r="I60" s="21">
        <v>36.836164999999994</v>
      </c>
      <c r="J60" s="21">
        <v>8.5665499999999994</v>
      </c>
      <c r="K60" s="21">
        <v>1667.907285</v>
      </c>
      <c r="L60" s="21">
        <v>0</v>
      </c>
      <c r="M60" s="21">
        <v>0</v>
      </c>
      <c r="N60" s="21">
        <v>0</v>
      </c>
      <c r="O60" s="21">
        <v>0</v>
      </c>
      <c r="P60" s="21">
        <v>5589</v>
      </c>
      <c r="Q60" s="21">
        <v>-359.142</v>
      </c>
      <c r="R60" s="21">
        <v>-63.377999999999993</v>
      </c>
      <c r="S60" s="21">
        <v>-105.63</v>
      </c>
      <c r="T60" s="21">
        <v>-10512.499999999998</v>
      </c>
      <c r="U60" s="21">
        <v>-1261.4999999999998</v>
      </c>
      <c r="V60" s="105">
        <f t="shared" si="0"/>
        <v>2.0463630789890885E-12</v>
      </c>
      <c r="X60" s="106"/>
      <c r="Y60" s="106"/>
    </row>
    <row r="61" spans="1:25">
      <c r="A61" s="18">
        <v>43401</v>
      </c>
      <c r="B61" s="18" t="s">
        <v>442</v>
      </c>
      <c r="C61" s="19" t="s">
        <v>515</v>
      </c>
      <c r="D61" s="21"/>
      <c r="E61" s="21">
        <v>0</v>
      </c>
      <c r="F61" s="21">
        <v>0</v>
      </c>
      <c r="G61" s="21"/>
      <c r="H61" s="21"/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/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105">
        <f t="shared" si="0"/>
        <v>0</v>
      </c>
      <c r="X61" s="106"/>
      <c r="Y61" s="106"/>
    </row>
    <row r="62" spans="1:25">
      <c r="A62" s="18">
        <v>43401</v>
      </c>
      <c r="B62" s="18" t="s">
        <v>443</v>
      </c>
      <c r="C62" s="19" t="s">
        <v>516</v>
      </c>
      <c r="D62" s="21"/>
      <c r="E62" s="21">
        <v>0</v>
      </c>
      <c r="F62" s="21">
        <v>0</v>
      </c>
      <c r="G62" s="21"/>
      <c r="H62" s="21"/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/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105">
        <f t="shared" si="0"/>
        <v>0</v>
      </c>
      <c r="X62" s="106"/>
      <c r="Y62" s="106"/>
    </row>
    <row r="63" spans="1:25">
      <c r="A63" s="18">
        <v>43402</v>
      </c>
      <c r="B63" s="18" t="s">
        <v>442</v>
      </c>
      <c r="C63" s="19" t="s">
        <v>517</v>
      </c>
      <c r="D63" s="21">
        <v>19800</v>
      </c>
      <c r="E63" s="21">
        <v>0</v>
      </c>
      <c r="F63" s="21">
        <v>-1.7999999999992724</v>
      </c>
      <c r="G63" s="21"/>
      <c r="H63" s="21"/>
      <c r="I63" s="21">
        <v>188.34343999999999</v>
      </c>
      <c r="J63" s="21">
        <v>43.800800000000002</v>
      </c>
      <c r="K63" s="21">
        <v>8528.0157599999984</v>
      </c>
      <c r="L63" s="21">
        <v>159.82142857142856</v>
      </c>
      <c r="M63" s="21">
        <v>0</v>
      </c>
      <c r="N63" s="21">
        <v>0</v>
      </c>
      <c r="O63" s="21">
        <v>226.00892857142856</v>
      </c>
      <c r="P63" s="21">
        <v>2433</v>
      </c>
      <c r="Q63" s="21">
        <v>-1524.8116</v>
      </c>
      <c r="R63" s="21">
        <v>-269.08439999999996</v>
      </c>
      <c r="S63" s="21">
        <v>-448.47399999999999</v>
      </c>
      <c r="T63" s="21">
        <v>-26008.271785714282</v>
      </c>
      <c r="U63" s="21">
        <v>-3074.6929714285711</v>
      </c>
      <c r="V63" s="105">
        <f t="shared" si="0"/>
        <v>51.85560000000396</v>
      </c>
      <c r="X63" s="106"/>
      <c r="Y63" s="106"/>
    </row>
    <row r="64" spans="1:25">
      <c r="A64" s="18">
        <v>43402</v>
      </c>
      <c r="B64" s="18" t="s">
        <v>443</v>
      </c>
      <c r="C64" s="19" t="s">
        <v>518</v>
      </c>
      <c r="D64" s="21">
        <v>10229</v>
      </c>
      <c r="E64" s="21">
        <v>0</v>
      </c>
      <c r="F64" s="21">
        <v>-0.5</v>
      </c>
      <c r="G64" s="21"/>
      <c r="H64" s="21"/>
      <c r="I64" s="21">
        <v>14.28589</v>
      </c>
      <c r="J64" s="21">
        <v>3.3223000000000003</v>
      </c>
      <c r="K64" s="21">
        <v>646.85181</v>
      </c>
      <c r="L64" s="21">
        <v>0</v>
      </c>
      <c r="M64" s="21">
        <v>0</v>
      </c>
      <c r="N64" s="21">
        <v>19.196428571428569</v>
      </c>
      <c r="O64" s="21">
        <v>0</v>
      </c>
      <c r="P64" s="21">
        <v>1471</v>
      </c>
      <c r="Q64" s="21">
        <v>-581.03280000000007</v>
      </c>
      <c r="R64" s="21">
        <v>-102.53520000000002</v>
      </c>
      <c r="S64" s="21">
        <v>-170.89200000000002</v>
      </c>
      <c r="T64" s="21">
        <v>-10293.232142857143</v>
      </c>
      <c r="U64" s="21">
        <v>-1232.8842857142856</v>
      </c>
      <c r="V64" s="105">
        <f t="shared" si="0"/>
        <v>2.5799999999987904</v>
      </c>
      <c r="X64" s="106"/>
      <c r="Y64" s="106"/>
    </row>
    <row r="65" spans="1:25">
      <c r="A65" s="18">
        <v>43403</v>
      </c>
      <c r="B65" s="18" t="s">
        <v>442</v>
      </c>
      <c r="C65" s="19" t="s">
        <v>519</v>
      </c>
      <c r="D65" s="21">
        <v>11665</v>
      </c>
      <c r="E65" s="21">
        <v>0</v>
      </c>
      <c r="F65" s="21">
        <v>-0.54000000000087311</v>
      </c>
      <c r="G65" s="21"/>
      <c r="H65" s="21"/>
      <c r="I65" s="21">
        <v>103.87380999999999</v>
      </c>
      <c r="J65" s="21">
        <v>24.156700000000001</v>
      </c>
      <c r="K65" s="21">
        <v>4703.3094899999996</v>
      </c>
      <c r="L65" s="21">
        <v>0</v>
      </c>
      <c r="M65" s="21">
        <v>0</v>
      </c>
      <c r="N65" s="21">
        <v>18.749999999999996</v>
      </c>
      <c r="O65" s="21">
        <v>160.23214285714286</v>
      </c>
      <c r="P65" s="21">
        <v>923</v>
      </c>
      <c r="Q65" s="21">
        <v>-876.47919999999999</v>
      </c>
      <c r="R65" s="21">
        <v>-154.6728</v>
      </c>
      <c r="S65" s="21">
        <v>-257.78800000000001</v>
      </c>
      <c r="T65" s="21">
        <v>-14559.164999999997</v>
      </c>
      <c r="U65" s="21">
        <v>-1725.6219428571424</v>
      </c>
      <c r="V65" s="105">
        <f t="shared" si="0"/>
        <v>24.055199999995011</v>
      </c>
      <c r="X65" s="106"/>
      <c r="Y65" s="106"/>
    </row>
    <row r="66" spans="1:25">
      <c r="A66" s="18">
        <v>43403</v>
      </c>
      <c r="B66" s="18" t="s">
        <v>443</v>
      </c>
      <c r="C66" s="19" t="s">
        <v>520</v>
      </c>
      <c r="D66" s="21">
        <v>7640</v>
      </c>
      <c r="E66" s="21">
        <v>1.0299999999997453</v>
      </c>
      <c r="F66" s="21">
        <v>0</v>
      </c>
      <c r="G66" s="21"/>
      <c r="H66" s="21"/>
      <c r="I66" s="21">
        <v>230.50472499999998</v>
      </c>
      <c r="J66" s="21">
        <v>53.60575</v>
      </c>
      <c r="K66" s="21">
        <v>10437.039524999998</v>
      </c>
      <c r="L66" s="21">
        <v>191.07142857142856</v>
      </c>
      <c r="M66" s="21">
        <v>0</v>
      </c>
      <c r="N66" s="21">
        <v>0</v>
      </c>
      <c r="O66" s="21">
        <v>329.87499999999994</v>
      </c>
      <c r="P66" s="21">
        <v>1551</v>
      </c>
      <c r="Q66" s="21">
        <v>-849.5376</v>
      </c>
      <c r="R66" s="21">
        <v>-149.91839999999999</v>
      </c>
      <c r="S66" s="21">
        <v>-249.864</v>
      </c>
      <c r="T66" s="21">
        <v>-17122.59357142857</v>
      </c>
      <c r="U66" s="21">
        <v>-1992.197657142857</v>
      </c>
      <c r="V66" s="105">
        <f t="shared" si="0"/>
        <v>70.015199999997776</v>
      </c>
      <c r="X66" s="106"/>
      <c r="Y66" s="106"/>
    </row>
    <row r="67" spans="1:25">
      <c r="A67" s="18">
        <v>43404</v>
      </c>
      <c r="B67" s="18" t="s">
        <v>442</v>
      </c>
      <c r="C67" s="19"/>
      <c r="D67" s="21">
        <v>14125</v>
      </c>
      <c r="E67" s="21">
        <v>0</v>
      </c>
      <c r="F67" s="21">
        <v>-1.0499999999992724</v>
      </c>
      <c r="G67" s="21"/>
      <c r="H67" s="21"/>
      <c r="I67" s="21">
        <v>324.47391499999998</v>
      </c>
      <c r="J67" s="21">
        <v>75.459050000000005</v>
      </c>
      <c r="K67" s="21">
        <v>14691.877035</v>
      </c>
      <c r="L67" s="21">
        <v>99.999999999999986</v>
      </c>
      <c r="M67" s="21">
        <v>29.017857142857139</v>
      </c>
      <c r="N67" s="21">
        <v>0</v>
      </c>
      <c r="O67" s="21">
        <v>279.01785714285711</v>
      </c>
      <c r="P67" s="21"/>
      <c r="Q67" s="21">
        <v>-1631.4968000000003</v>
      </c>
      <c r="R67" s="21">
        <v>-287.91120000000006</v>
      </c>
      <c r="S67" s="21">
        <v>-479.85200000000009</v>
      </c>
      <c r="T67" s="21">
        <v>-24302.375</v>
      </c>
      <c r="U67" s="21">
        <v>-2867.3207142857136</v>
      </c>
      <c r="V67" s="105">
        <f t="shared" si="0"/>
        <v>54.840000000007421</v>
      </c>
      <c r="X67" s="106"/>
      <c r="Y67" s="106"/>
    </row>
    <row r="68" spans="1:25">
      <c r="A68" s="18">
        <v>43404</v>
      </c>
      <c r="B68" s="18" t="s">
        <v>443</v>
      </c>
      <c r="C68" s="19"/>
      <c r="D68" s="21">
        <v>13505</v>
      </c>
      <c r="E68" s="21">
        <v>0</v>
      </c>
      <c r="F68" s="21">
        <v>-5.6299999999991996</v>
      </c>
      <c r="G68" s="21"/>
      <c r="H68" s="21"/>
      <c r="I68" s="21">
        <v>47.758380000000002</v>
      </c>
      <c r="J68" s="21">
        <v>11.1066</v>
      </c>
      <c r="K68" s="21">
        <v>2162.4550199999999</v>
      </c>
      <c r="L68" s="21">
        <v>253.03571428571425</v>
      </c>
      <c r="M68" s="21">
        <v>0</v>
      </c>
      <c r="N68" s="21">
        <v>0</v>
      </c>
      <c r="O68" s="21">
        <v>0</v>
      </c>
      <c r="P68" s="21">
        <v>2045</v>
      </c>
      <c r="Q68" s="21">
        <v>-583.50120000000004</v>
      </c>
      <c r="R68" s="21">
        <v>-102.97080000000001</v>
      </c>
      <c r="S68" s="21">
        <v>-171.61800000000002</v>
      </c>
      <c r="T68" s="21">
        <v>-15318.742857142855</v>
      </c>
      <c r="U68" s="21">
        <v>-1807.8848571428568</v>
      </c>
      <c r="V68" s="105">
        <f t="shared" si="0"/>
        <v>34.008000000003676</v>
      </c>
      <c r="X68" s="106"/>
      <c r="Y68" s="106"/>
    </row>
    <row r="69" spans="1:25">
      <c r="A69" s="18"/>
      <c r="B69" s="18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05"/>
      <c r="X69" s="106"/>
      <c r="Y69" s="106"/>
    </row>
    <row r="70" spans="1:25">
      <c r="A70" s="18"/>
      <c r="B70" s="18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05"/>
      <c r="X70" s="106"/>
      <c r="Y70" s="106"/>
    </row>
    <row r="71" spans="1:25">
      <c r="A71" s="18"/>
      <c r="B71" s="18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05"/>
      <c r="X71" s="106"/>
      <c r="Y71" s="106"/>
    </row>
    <row r="72" spans="1:25">
      <c r="A72" s="18"/>
      <c r="B72" s="18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05"/>
      <c r="X72" s="106"/>
      <c r="Y72" s="106"/>
    </row>
    <row r="73" spans="1:25">
      <c r="A73" s="18"/>
      <c r="B73" s="18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05"/>
      <c r="X73" s="106"/>
      <c r="Y73" s="106"/>
    </row>
    <row r="74" spans="1:25">
      <c r="A74" s="18"/>
      <c r="B74" s="18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05"/>
      <c r="X74" s="106"/>
      <c r="Y74" s="106"/>
    </row>
    <row r="75" spans="1:25">
      <c r="A75" s="18"/>
      <c r="B75" s="18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05"/>
      <c r="X75" s="106"/>
      <c r="Y75" s="106"/>
    </row>
    <row r="76" spans="1:25">
      <c r="A76" s="18"/>
      <c r="B76" s="18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05"/>
      <c r="X76" s="106"/>
      <c r="Y76" s="106"/>
    </row>
    <row r="77" spans="1:25">
      <c r="A77" s="18"/>
      <c r="B77" s="18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05"/>
      <c r="X77" s="106"/>
      <c r="Y77" s="106"/>
    </row>
    <row r="78" spans="1:25">
      <c r="A78" s="18"/>
      <c r="B78" s="18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05"/>
      <c r="X78" s="106"/>
      <c r="Y78" s="106"/>
    </row>
    <row r="79" spans="1:25">
      <c r="A79" s="18"/>
      <c r="B79" s="18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05"/>
      <c r="X79" s="106"/>
      <c r="Y79" s="106"/>
    </row>
    <row r="80" spans="1:25">
      <c r="A80" s="18"/>
      <c r="B80" s="18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105"/>
      <c r="X80" s="106"/>
      <c r="Y80" s="106"/>
    </row>
    <row r="81" spans="1:25">
      <c r="A81" s="18"/>
      <c r="B81" s="18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105"/>
      <c r="X81" s="106"/>
      <c r="Y81" s="106"/>
    </row>
    <row r="82" spans="1:25">
      <c r="A82" s="18"/>
      <c r="B82" s="18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105"/>
      <c r="X82" s="106"/>
      <c r="Y82" s="106"/>
    </row>
    <row r="83" spans="1:25">
      <c r="A83" s="18"/>
      <c r="B83" s="18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105"/>
      <c r="X83" s="106"/>
      <c r="Y83" s="106"/>
    </row>
    <row r="84" spans="1:25">
      <c r="A84" s="18"/>
      <c r="B84" s="18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105"/>
      <c r="X84" s="106"/>
      <c r="Y84" s="106"/>
    </row>
    <row r="85" spans="1:25">
      <c r="A85" s="18"/>
      <c r="B85" s="18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105"/>
      <c r="X85" s="106"/>
      <c r="Y85" s="106"/>
    </row>
    <row r="86" spans="1:25">
      <c r="A86" s="18"/>
      <c r="B86" s="18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105"/>
      <c r="X86" s="106"/>
      <c r="Y86" s="106"/>
    </row>
    <row r="87" spans="1:25">
      <c r="A87" s="18"/>
      <c r="B87" s="18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105"/>
      <c r="X87" s="106"/>
      <c r="Y87" s="106"/>
    </row>
    <row r="88" spans="1:25">
      <c r="A88" s="18"/>
      <c r="B88" s="18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105"/>
      <c r="X88" s="106"/>
      <c r="Y88" s="106"/>
    </row>
    <row r="89" spans="1:25">
      <c r="A89" s="18"/>
      <c r="B89" s="18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105"/>
      <c r="X89" s="106"/>
      <c r="Y89" s="106"/>
    </row>
    <row r="90" spans="1:25">
      <c r="A90" s="18"/>
      <c r="B90" s="18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105"/>
      <c r="X90" s="106"/>
      <c r="Y90" s="106"/>
    </row>
    <row r="91" spans="1:25">
      <c r="A91" s="18"/>
      <c r="B91" s="18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5" ht="10.8" thickBot="1">
      <c r="A92" s="23" t="s">
        <v>9</v>
      </c>
      <c r="B92" s="23"/>
      <c r="C92" s="23"/>
      <c r="D92" s="25">
        <f t="shared" ref="D92:S92" si="3">SUM(D7:D91)</f>
        <v>631510.65</v>
      </c>
      <c r="E92" s="25">
        <f t="shared" si="3"/>
        <v>10.460000000001855</v>
      </c>
      <c r="F92" s="25">
        <f t="shared" si="3"/>
        <v>-68.890000000000782</v>
      </c>
      <c r="G92" s="25">
        <f t="shared" si="3"/>
        <v>0</v>
      </c>
      <c r="H92" s="25">
        <f t="shared" si="3"/>
        <v>500</v>
      </c>
      <c r="I92" s="25">
        <f t="shared" si="3"/>
        <v>5590.6910099999986</v>
      </c>
      <c r="J92" s="25">
        <f t="shared" si="3"/>
        <v>1300.1607000000001</v>
      </c>
      <c r="K92" s="25">
        <f t="shared" si="3"/>
        <v>253141.28829000008</v>
      </c>
      <c r="L92" s="25">
        <f t="shared" si="3"/>
        <v>4547.7232142857138</v>
      </c>
      <c r="M92" s="25">
        <f t="shared" si="3"/>
        <v>88.839285714285708</v>
      </c>
      <c r="N92" s="25">
        <f t="shared" si="3"/>
        <v>37.946428571428569</v>
      </c>
      <c r="O92" s="25">
        <f t="shared" si="3"/>
        <v>6653.8124999999991</v>
      </c>
      <c r="P92" s="25">
        <f t="shared" si="3"/>
        <v>126265</v>
      </c>
      <c r="Q92" s="25">
        <f t="shared" si="3"/>
        <v>-47604.216</v>
      </c>
      <c r="R92" s="25">
        <f t="shared" si="3"/>
        <v>-8400.7439999999988</v>
      </c>
      <c r="S92" s="25">
        <f t="shared" si="3"/>
        <v>-14001.24</v>
      </c>
      <c r="T92" s="25">
        <f>SUM(T7:T91)</f>
        <v>-851950.89418571419</v>
      </c>
      <c r="U92" s="25">
        <f t="shared" ref="U92" si="4">SUM(U7:U91)</f>
        <v>-100874.70873085712</v>
      </c>
    </row>
    <row r="93" spans="1:25" ht="10.8" thickTop="1"/>
    <row r="94" spans="1:25">
      <c r="U94" s="105">
        <f>SUM(D92:U92)</f>
        <v>6745.8785120001994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18"/>
  <sheetViews>
    <sheetView workbookViewId="0">
      <selection activeCell="B7" sqref="B7"/>
    </sheetView>
  </sheetViews>
  <sheetFormatPr defaultRowHeight="13.2"/>
  <cols>
    <col min="1" max="1" width="21.77734375" style="44" bestFit="1" customWidth="1"/>
    <col min="2" max="2" width="15.109375" style="44" bestFit="1" customWidth="1"/>
    <col min="3" max="3" width="8.88671875" style="44"/>
    <col min="4" max="4" width="11.5546875" style="44" bestFit="1" customWidth="1"/>
    <col min="5" max="1025" width="8.88671875" style="44"/>
    <col min="1026" max="16384" width="8.88671875" style="43"/>
  </cols>
  <sheetData>
    <row r="1" spans="1:11" s="43" customFormat="1">
      <c r="A1" s="44" t="s">
        <v>68</v>
      </c>
      <c r="E1" s="44"/>
      <c r="F1" s="44"/>
      <c r="J1" s="44"/>
    </row>
    <row r="2" spans="1:11" s="43" customFormat="1">
      <c r="E2" s="44"/>
      <c r="F2" s="44"/>
      <c r="J2" s="44"/>
    </row>
    <row r="3" spans="1:11" s="43" customFormat="1" ht="14.4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4.4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4.4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4.4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4.4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4.4">
      <c r="E8" s="44"/>
      <c r="F8" s="44"/>
      <c r="H8" s="47"/>
      <c r="I8" s="47"/>
      <c r="J8" s="44"/>
      <c r="K8" s="44"/>
    </row>
    <row r="9" spans="1:11" s="43" customFormat="1" ht="14.4">
      <c r="E9" s="44"/>
      <c r="F9" s="44"/>
      <c r="H9" s="47"/>
      <c r="I9" s="47"/>
      <c r="J9" s="44"/>
      <c r="K9" s="44"/>
    </row>
    <row r="10" spans="1:11" s="43" customFormat="1" ht="14.4">
      <c r="E10" s="44"/>
      <c r="F10" s="44"/>
      <c r="H10" s="47"/>
      <c r="I10" s="47"/>
      <c r="J10" s="44"/>
      <c r="K10" s="44"/>
    </row>
    <row r="11" spans="1:11" s="43" customFormat="1" ht="14.4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4.4">
      <c r="E12" s="44"/>
      <c r="F12" s="44"/>
      <c r="H12" s="47"/>
      <c r="I12" s="47"/>
      <c r="J12" s="44"/>
      <c r="K12" s="44"/>
    </row>
    <row r="13" spans="1:11" s="43" customFormat="1" ht="14.4">
      <c r="A13" s="44" t="s">
        <v>60</v>
      </c>
      <c r="B13" s="45"/>
      <c r="C13" s="44" t="s">
        <v>92</v>
      </c>
      <c r="E13" s="44"/>
      <c r="F13" s="44"/>
      <c r="H13" s="44"/>
      <c r="I13" s="44"/>
      <c r="J13" s="44"/>
      <c r="K13" s="44"/>
    </row>
    <row r="14" spans="1:11" s="43" customFormat="1" ht="14.4">
      <c r="A14" s="44" t="s">
        <v>59</v>
      </c>
      <c r="B14" s="45"/>
      <c r="C14" s="44" t="s">
        <v>93</v>
      </c>
      <c r="D14" s="46"/>
      <c r="E14" s="44" t="s">
        <v>137</v>
      </c>
      <c r="F14" s="44"/>
      <c r="H14" s="44"/>
      <c r="I14" s="44"/>
      <c r="J14" s="44"/>
      <c r="K14" s="44"/>
    </row>
    <row r="15" spans="1:11" s="43" customFormat="1">
      <c r="A15" s="44" t="s">
        <v>58</v>
      </c>
      <c r="C15" s="44" t="s">
        <v>94</v>
      </c>
      <c r="E15" s="44" t="s">
        <v>138</v>
      </c>
      <c r="F15" s="44"/>
      <c r="H15" s="44"/>
      <c r="I15" s="44"/>
      <c r="J15" s="44"/>
      <c r="K15" s="44"/>
    </row>
    <row r="16" spans="1:11" s="43" customFormat="1" ht="14.4">
      <c r="A16" s="44" t="s">
        <v>57</v>
      </c>
      <c r="C16" s="44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>
      <c r="A18" s="44" t="s">
        <v>56</v>
      </c>
      <c r="B18" s="62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18" sqref="D18"/>
    </sheetView>
  </sheetViews>
  <sheetFormatPr defaultRowHeight="14.4"/>
  <cols>
    <col min="1" max="1" width="17.33203125" bestFit="1" customWidth="1"/>
    <col min="2" max="2" width="4.109375" bestFit="1" customWidth="1"/>
    <col min="3" max="3" width="12.5546875" customWidth="1"/>
    <col min="4" max="5" width="12.5546875" bestFit="1" customWidth="1"/>
  </cols>
  <sheetData>
    <row r="1" spans="1:5">
      <c r="C1" s="68">
        <f>+C7/C5</f>
        <v>0.64667163474950606</v>
      </c>
      <c r="D1" s="68" t="e">
        <f>+D7/D5</f>
        <v>#REF!</v>
      </c>
      <c r="E1" s="68" t="e">
        <f>+E7/E5</f>
        <v>#DIV/0!</v>
      </c>
    </row>
    <row r="2" spans="1:5">
      <c r="C2" s="68">
        <f>+C10/C5</f>
        <v>0.597409381733772</v>
      </c>
      <c r="D2" s="68" t="e">
        <f>+D10/D5</f>
        <v>#REF!</v>
      </c>
      <c r="E2" s="68" t="e">
        <f>+E10/E5</f>
        <v>#DIV/0!</v>
      </c>
    </row>
    <row r="4" spans="1:5">
      <c r="C4" s="70" t="s">
        <v>124</v>
      </c>
      <c r="D4" s="70" t="s">
        <v>125</v>
      </c>
      <c r="E4" s="70" t="s">
        <v>126</v>
      </c>
    </row>
    <row r="5" spans="1: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>
      <c r="A6" t="s">
        <v>96</v>
      </c>
      <c r="B6" t="s">
        <v>98</v>
      </c>
      <c r="C6" s="63">
        <v>801248.32</v>
      </c>
      <c r="D6" s="63" t="e">
        <f>+#REF!+200000</f>
        <v>#REF!</v>
      </c>
      <c r="E6" s="63"/>
    </row>
    <row r="7" spans="1: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>
      <c r="A8" t="s">
        <v>101</v>
      </c>
      <c r="B8" t="s">
        <v>102</v>
      </c>
      <c r="C8" s="63">
        <v>0</v>
      </c>
      <c r="D8" s="63">
        <v>0</v>
      </c>
      <c r="E8" s="63">
        <v>0</v>
      </c>
    </row>
    <row r="9" spans="1: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>
      <c r="A10" t="s">
        <v>104</v>
      </c>
      <c r="B10" t="s">
        <v>105</v>
      </c>
      <c r="C10" s="63">
        <v>1354754.7</v>
      </c>
      <c r="D10" s="63" t="e">
        <f>+#REF!-400000</f>
        <v>#REF!</v>
      </c>
      <c r="E10" s="63"/>
    </row>
    <row r="11" spans="1: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>
      <c r="A12" t="s">
        <v>108</v>
      </c>
      <c r="B12" t="s">
        <v>109</v>
      </c>
      <c r="C12" s="63">
        <v>0</v>
      </c>
      <c r="D12" s="63">
        <f>+C13</f>
        <v>111712.79000000027</v>
      </c>
      <c r="E12" s="63" t="e">
        <f>+D13</f>
        <v>#REF!</v>
      </c>
    </row>
    <row r="13" spans="1: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>
      <c r="A14" t="s">
        <v>112</v>
      </c>
      <c r="B14" t="s">
        <v>113</v>
      </c>
      <c r="C14" s="64">
        <v>0.3</v>
      </c>
      <c r="D14" s="64">
        <v>0.3</v>
      </c>
      <c r="E14" s="64">
        <v>0.3</v>
      </c>
    </row>
    <row r="15" spans="1:5">
      <c r="A15" t="s">
        <v>114</v>
      </c>
      <c r="B15" t="s">
        <v>115</v>
      </c>
      <c r="C15" s="65">
        <f>+C13*C14</f>
        <v>33513.83700000008</v>
      </c>
      <c r="D15" s="65" t="e">
        <f>+D13*D14</f>
        <v>#REF!</v>
      </c>
      <c r="E15" s="65" t="e">
        <f>+E13*E14</f>
        <v>#REF!</v>
      </c>
    </row>
    <row r="16" spans="1:5">
      <c r="C16" s="60"/>
      <c r="D16" s="60"/>
      <c r="E16" s="60"/>
    </row>
    <row r="17" spans="1:5">
      <c r="A17" t="s">
        <v>123</v>
      </c>
      <c r="C17" s="68">
        <f>+C7</f>
        <v>1466467.4900000002</v>
      </c>
      <c r="D17" s="68" t="e">
        <f>+D7+C7</f>
        <v>#REF!</v>
      </c>
      <c r="E17" s="68" t="e">
        <f>+E7+C7+D7</f>
        <v>#REF!</v>
      </c>
    </row>
    <row r="18" spans="1:5">
      <c r="A18" t="s">
        <v>122</v>
      </c>
      <c r="C18" s="69">
        <v>0.02</v>
      </c>
      <c r="D18" s="69">
        <v>0.02</v>
      </c>
      <c r="E18" s="69">
        <v>0.02</v>
      </c>
    </row>
    <row r="19" spans="1:5">
      <c r="A19" t="s">
        <v>116</v>
      </c>
      <c r="B19">
        <v>28</v>
      </c>
      <c r="C19" s="65">
        <f>+C17*C18</f>
        <v>29329.349800000004</v>
      </c>
      <c r="D19" s="65" t="e">
        <f>+D17*D18</f>
        <v>#REF!</v>
      </c>
      <c r="E19" s="65" t="e">
        <f>+E17*E18</f>
        <v>#REF!</v>
      </c>
    </row>
    <row r="20" spans="1:5">
      <c r="C20" s="60"/>
      <c r="D20" s="60"/>
      <c r="E20" s="60"/>
    </row>
    <row r="21" spans="1: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>
      <c r="C22" s="60"/>
      <c r="D22" s="60"/>
      <c r="E22" s="60"/>
    </row>
    <row r="23" spans="1: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>
      <c r="C24" s="66"/>
      <c r="D24" s="66"/>
      <c r="E24" s="66"/>
    </row>
    <row r="25" spans="1:5" ht="15" thickBot="1">
      <c r="A25" t="s">
        <v>15</v>
      </c>
      <c r="B25" t="s">
        <v>121</v>
      </c>
      <c r="C25" s="67">
        <f>+C21-C23</f>
        <v>-90838.162999999913</v>
      </c>
      <c r="D25" s="67" t="e">
        <f>+D21-D23</f>
        <v>#REF!</v>
      </c>
      <c r="E25" s="67" t="e">
        <f>+E21-E23</f>
        <v>#REF!</v>
      </c>
    </row>
    <row r="26" spans="1:5" ht="15" thickTop="1">
      <c r="C26" s="60"/>
      <c r="D26" s="60"/>
      <c r="E26" s="60"/>
    </row>
    <row r="27" spans="1: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21"/>
  <sheetViews>
    <sheetView workbookViewId="0">
      <selection activeCell="F4" sqref="F4"/>
    </sheetView>
  </sheetViews>
  <sheetFormatPr defaultRowHeight="14.4"/>
  <cols>
    <col min="3" max="5" width="12" hidden="1" customWidth="1"/>
    <col min="6" max="6" width="12.5546875" customWidth="1"/>
    <col min="7" max="7" width="4.44140625" customWidth="1"/>
    <col min="8" max="10" width="12" hidden="1" customWidth="1"/>
    <col min="11" max="11" width="12" customWidth="1"/>
  </cols>
  <sheetData>
    <row r="2" spans="2:13">
      <c r="C2" s="74" t="s">
        <v>133</v>
      </c>
      <c r="D2" s="74" t="s">
        <v>134</v>
      </c>
      <c r="E2" s="74" t="s">
        <v>135</v>
      </c>
      <c r="F2" s="70" t="s">
        <v>9</v>
      </c>
      <c r="G2" s="70"/>
      <c r="H2" s="74" t="s">
        <v>133</v>
      </c>
      <c r="I2" s="74" t="s">
        <v>134</v>
      </c>
      <c r="J2" s="74" t="s">
        <v>135</v>
      </c>
      <c r="K2" s="70" t="s">
        <v>9</v>
      </c>
      <c r="L2" s="70"/>
    </row>
    <row r="3" spans="2:13">
      <c r="B3" t="s">
        <v>48</v>
      </c>
      <c r="C3" s="60"/>
      <c r="D3" s="60"/>
      <c r="F3" s="68">
        <f>SUM(C3:E3)</f>
        <v>0</v>
      </c>
      <c r="G3" s="71">
        <v>0.15</v>
      </c>
      <c r="H3" s="68">
        <f t="shared" ref="H3:I7" si="0">C3*$G3</f>
        <v>0</v>
      </c>
      <c r="I3" s="68">
        <f t="shared" si="0"/>
        <v>0</v>
      </c>
      <c r="J3" s="68">
        <f>SUM(E3:E3)*G3</f>
        <v>0</v>
      </c>
      <c r="K3" s="68">
        <f>SUM(H3:J3)</f>
        <v>0</v>
      </c>
    </row>
    <row r="4" spans="2:13">
      <c r="B4" t="s">
        <v>46</v>
      </c>
      <c r="C4" s="60">
        <f>[1]October!$E$7+[1]October!$E$11</f>
        <v>171501.07142857142</v>
      </c>
      <c r="D4" s="60">
        <f>+[2]November!$E$7+[2]November!$E$11</f>
        <v>171501.07142857142</v>
      </c>
      <c r="E4" s="68">
        <f>+[3]December!$E$7+[3]December!$E$11</f>
        <v>171501.07142857142</v>
      </c>
      <c r="F4" s="68">
        <f t="shared" ref="F4:F7" si="1">SUM(C4:E4)</f>
        <v>514503.21428571426</v>
      </c>
      <c r="G4" s="71">
        <v>0.05</v>
      </c>
      <c r="H4" s="68">
        <f t="shared" si="0"/>
        <v>8575.0535714285706</v>
      </c>
      <c r="I4" s="68">
        <f t="shared" si="0"/>
        <v>8575.0535714285706</v>
      </c>
      <c r="J4" s="68">
        <f>SUM(E4:E4)*G4</f>
        <v>8575.0535714285706</v>
      </c>
      <c r="K4" s="68">
        <f t="shared" ref="K4:K7" si="2">SUM(H4:J4)</f>
        <v>25725.16071428571</v>
      </c>
    </row>
    <row r="5" spans="2:13">
      <c r="B5" t="s">
        <v>47</v>
      </c>
      <c r="C5" s="60">
        <f>+[1]October!$E$32+'[4]Oct 1-31'!$M$56</f>
        <v>31509.455714285712</v>
      </c>
      <c r="D5" s="60">
        <f>+[2]November!$E$32</f>
        <v>24144.89</v>
      </c>
      <c r="E5" s="68">
        <f>+[3]December!$E$32</f>
        <v>27853.25</v>
      </c>
      <c r="F5" s="68">
        <f t="shared" si="1"/>
        <v>83507.595714285708</v>
      </c>
      <c r="G5" s="71">
        <v>0.02</v>
      </c>
      <c r="H5" s="68">
        <f t="shared" si="0"/>
        <v>630.18911428571425</v>
      </c>
      <c r="I5" s="68">
        <f t="shared" si="0"/>
        <v>482.89780000000002</v>
      </c>
      <c r="J5" s="68">
        <f>SUM(E5:E5)*G5</f>
        <v>557.06500000000005</v>
      </c>
      <c r="K5" s="68">
        <f t="shared" si="2"/>
        <v>1670.1519142857144</v>
      </c>
    </row>
    <row r="6" spans="2:13">
      <c r="B6" t="s">
        <v>49</v>
      </c>
      <c r="C6" s="60">
        <f>+'[4]Oct 1-31'!$M$62+'[4]Oct 1-31'!$M$105+'[4]Oct 1-31'!$M$117+[5]Oct2018!$M$67</f>
        <v>206461.16428571427</v>
      </c>
      <c r="D6" s="60">
        <f>+'[6]Nov 3-29'!$M$15+'[6]Nov 3-29'!$M$33+'[6]Nov 3-29'!$M$34+[7]Nov2018!$M$98</f>
        <v>188272.08392857146</v>
      </c>
      <c r="E6" s="68">
        <f>+[8]Dec2018!$M$59</f>
        <v>207424.34785714283</v>
      </c>
      <c r="F6" s="68">
        <f>SUM(C6:E6)</f>
        <v>602157.5960714285</v>
      </c>
      <c r="G6" s="71">
        <v>0.01</v>
      </c>
      <c r="H6" s="68">
        <f t="shared" si="0"/>
        <v>2064.6116428571427</v>
      </c>
      <c r="I6" s="68">
        <f t="shared" si="0"/>
        <v>1882.7208392857146</v>
      </c>
      <c r="J6" s="68">
        <f>SUM(E6:E6)*G6</f>
        <v>2074.2434785714281</v>
      </c>
      <c r="K6" s="68">
        <f t="shared" si="2"/>
        <v>6021.5759607142854</v>
      </c>
    </row>
    <row r="7" spans="2:13">
      <c r="B7" t="s">
        <v>128</v>
      </c>
      <c r="C7" s="60"/>
      <c r="D7" s="60"/>
      <c r="F7" s="68">
        <f t="shared" si="1"/>
        <v>0</v>
      </c>
      <c r="G7" s="71">
        <v>0.02</v>
      </c>
      <c r="H7" s="68">
        <f t="shared" si="0"/>
        <v>0</v>
      </c>
      <c r="I7" s="68">
        <f t="shared" si="0"/>
        <v>0</v>
      </c>
      <c r="J7" s="68">
        <f>SUM(E7:E7)*G7</f>
        <v>0</v>
      </c>
      <c r="K7" s="68">
        <f t="shared" si="2"/>
        <v>0</v>
      </c>
    </row>
    <row r="8" spans="2:13">
      <c r="G8" s="71"/>
    </row>
    <row r="9" spans="2:13">
      <c r="B9" t="s">
        <v>127</v>
      </c>
      <c r="C9" s="60">
        <f>+[1]October!$E$14</f>
        <v>14999.999999999998</v>
      </c>
      <c r="D9" s="60">
        <f>+[2]November!$E$14</f>
        <v>14999.999999999998</v>
      </c>
      <c r="E9" s="60">
        <f>+[3]December!$E$14</f>
        <v>14999.999999999998</v>
      </c>
      <c r="F9" s="68">
        <f t="shared" ref="F9:F14" si="3">SUM(C9:E9)</f>
        <v>44999.999999999993</v>
      </c>
      <c r="G9" s="71">
        <v>0.05</v>
      </c>
      <c r="H9" s="68">
        <f t="shared" ref="H9:I14" si="4">C9*$G9</f>
        <v>750</v>
      </c>
      <c r="I9" s="68">
        <f t="shared" si="4"/>
        <v>750</v>
      </c>
      <c r="J9" s="68">
        <f t="shared" ref="J9:J14" si="5">SUM(E9:E9)*G9</f>
        <v>750</v>
      </c>
      <c r="K9" s="68">
        <f t="shared" ref="K9:K14" si="6">SUM(H9:J9)</f>
        <v>2250</v>
      </c>
    </row>
    <row r="10" spans="2:13">
      <c r="B10" t="s">
        <v>129</v>
      </c>
      <c r="C10" s="60">
        <f>+[1]October!$E$19</f>
        <v>25462.330357142855</v>
      </c>
      <c r="D10" s="60">
        <f>+[2]November!$E$19</f>
        <v>26556.455357142855</v>
      </c>
      <c r="E10" s="68">
        <f>+[3]December!$E$19</f>
        <v>24303.714285714283</v>
      </c>
      <c r="F10" s="68">
        <f t="shared" si="3"/>
        <v>76322.5</v>
      </c>
      <c r="G10" s="71">
        <v>0.1</v>
      </c>
      <c r="H10" s="68">
        <f t="shared" si="4"/>
        <v>2546.2330357142855</v>
      </c>
      <c r="I10" s="68">
        <f t="shared" si="4"/>
        <v>2655.6455357142859</v>
      </c>
      <c r="J10" s="68">
        <f t="shared" si="5"/>
        <v>2430.3714285714282</v>
      </c>
      <c r="K10" s="68">
        <f t="shared" si="6"/>
        <v>7632.25</v>
      </c>
    </row>
    <row r="11" spans="2:13">
      <c r="B11" t="s">
        <v>130</v>
      </c>
      <c r="C11" s="60"/>
      <c r="D11" s="60"/>
      <c r="F11" s="68">
        <f t="shared" si="3"/>
        <v>0</v>
      </c>
      <c r="G11" s="71">
        <v>0.05</v>
      </c>
      <c r="H11" s="68">
        <f t="shared" si="4"/>
        <v>0</v>
      </c>
      <c r="I11" s="68">
        <f t="shared" si="4"/>
        <v>0</v>
      </c>
      <c r="J11" s="68">
        <f t="shared" si="5"/>
        <v>0</v>
      </c>
      <c r="K11" s="68">
        <f t="shared" si="6"/>
        <v>0</v>
      </c>
    </row>
    <row r="12" spans="2:13">
      <c r="B12" t="s">
        <v>131</v>
      </c>
      <c r="C12" s="60"/>
      <c r="D12" s="60"/>
      <c r="F12" s="68">
        <f t="shared" si="3"/>
        <v>0</v>
      </c>
      <c r="G12" s="71">
        <v>0.02</v>
      </c>
      <c r="H12" s="68">
        <f t="shared" si="4"/>
        <v>0</v>
      </c>
      <c r="I12" s="68">
        <f t="shared" si="4"/>
        <v>0</v>
      </c>
      <c r="J12" s="68">
        <f t="shared" si="5"/>
        <v>0</v>
      </c>
      <c r="K12" s="68">
        <f t="shared" si="6"/>
        <v>0</v>
      </c>
    </row>
    <row r="13" spans="2:13">
      <c r="B13" t="s">
        <v>53</v>
      </c>
      <c r="C13" s="60"/>
      <c r="D13" s="60"/>
      <c r="F13" s="68">
        <f t="shared" si="3"/>
        <v>0</v>
      </c>
      <c r="G13" s="71">
        <v>0.01</v>
      </c>
      <c r="H13" s="68">
        <f t="shared" si="4"/>
        <v>0</v>
      </c>
      <c r="I13" s="68">
        <f t="shared" si="4"/>
        <v>0</v>
      </c>
      <c r="J13" s="68">
        <f t="shared" si="5"/>
        <v>0</v>
      </c>
      <c r="K13" s="68">
        <f t="shared" si="6"/>
        <v>0</v>
      </c>
    </row>
    <row r="14" spans="2:13">
      <c r="B14" t="s">
        <v>132</v>
      </c>
      <c r="C14" s="60"/>
      <c r="D14" s="60"/>
      <c r="F14" s="68">
        <f t="shared" si="3"/>
        <v>0</v>
      </c>
      <c r="G14" s="71">
        <v>0.02</v>
      </c>
      <c r="H14" s="68">
        <f t="shared" si="4"/>
        <v>0</v>
      </c>
      <c r="I14" s="68">
        <f t="shared" si="4"/>
        <v>0</v>
      </c>
      <c r="J14" s="68">
        <f t="shared" si="5"/>
        <v>0</v>
      </c>
      <c r="K14" s="68">
        <f t="shared" si="6"/>
        <v>0</v>
      </c>
    </row>
    <row r="16" spans="2:13">
      <c r="C16" s="60">
        <f>SUM(C2:C15)</f>
        <v>449934.02178571426</v>
      </c>
      <c r="D16" s="60">
        <f>SUM(D2:D15)</f>
        <v>425474.50071428576</v>
      </c>
      <c r="E16" s="60">
        <f>SUM(E2:E15)</f>
        <v>446082.38357142854</v>
      </c>
      <c r="F16" s="60">
        <f>SUM(F2:F15)</f>
        <v>1321490.9060714284</v>
      </c>
      <c r="H16" s="60">
        <f>SUM(H2:H15)</f>
        <v>14566.087364285713</v>
      </c>
      <c r="I16" s="60">
        <f>SUM(I2:I15)</f>
        <v>14346.317746428571</v>
      </c>
      <c r="J16" s="60">
        <f>SUM(J2:J15)</f>
        <v>14386.733478571428</v>
      </c>
      <c r="K16" s="60">
        <f>SUM(K2:K15)</f>
        <v>43299.138589285707</v>
      </c>
      <c r="M16" s="68"/>
    </row>
    <row r="18" spans="10:11">
      <c r="J18" t="s">
        <v>139</v>
      </c>
      <c r="K18" s="60">
        <v>14087.65</v>
      </c>
    </row>
    <row r="19" spans="10:11">
      <c r="J19" t="s">
        <v>140</v>
      </c>
      <c r="K19" s="60">
        <v>12463.6</v>
      </c>
    </row>
    <row r="21" spans="10:11">
      <c r="K21" s="68">
        <f>+K16-K18-K19</f>
        <v>16747.888589285707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28"/>
  <sheetViews>
    <sheetView workbookViewId="0">
      <pane xSplit="6" ySplit="6" topLeftCell="P191" activePane="bottomRight" state="frozen"/>
      <selection pane="topRight" activeCell="G1" sqref="G1"/>
      <selection pane="bottomLeft" activeCell="A7" sqref="A7"/>
      <selection pane="bottomRight" activeCell="G7" sqref="G7:S224"/>
    </sheetView>
  </sheetViews>
  <sheetFormatPr defaultRowHeight="10.199999999999999"/>
  <cols>
    <col min="1" max="1" width="9" style="2" bestFit="1" customWidth="1"/>
    <col min="2" max="2" width="8.88671875" style="2"/>
    <col min="3" max="3" width="10.44140625" style="2" bestFit="1" customWidth="1"/>
    <col min="4" max="4" width="9.33203125" style="2" bestFit="1" customWidth="1"/>
    <col min="5" max="5" width="33.21875" style="2" bestFit="1" customWidth="1"/>
    <col min="6" max="6" width="36.6640625" style="2" bestFit="1" customWidth="1"/>
    <col min="7" max="8" width="16.5546875" style="104" customWidth="1"/>
    <col min="9" max="19" width="16.5546875" style="2" customWidth="1"/>
    <col min="20" max="20" width="8.88671875" style="2"/>
    <col min="21" max="21" width="10.44140625" style="2" bestFit="1" customWidth="1"/>
    <col min="22" max="16384" width="8.88671875" style="2"/>
  </cols>
  <sheetData>
    <row r="1" spans="1:22">
      <c r="A1" s="1" t="s">
        <v>0</v>
      </c>
    </row>
    <row r="2" spans="1:22">
      <c r="A2" s="1" t="s">
        <v>1</v>
      </c>
    </row>
    <row r="3" spans="1:22">
      <c r="A3" s="1" t="s">
        <v>2</v>
      </c>
    </row>
    <row r="5" spans="1:22" s="100" customFormat="1" ht="20.399999999999999">
      <c r="A5" s="98"/>
      <c r="B5" s="98"/>
      <c r="C5" s="98"/>
      <c r="D5" s="98"/>
      <c r="E5" s="98"/>
      <c r="F5" s="98"/>
      <c r="G5" s="131" t="str">
        <f>INDEX(WTB!$A:$B,MATCH(G$6,WTB!$A:$A,),2)</f>
        <v>Cash in Bank</v>
      </c>
      <c r="H5" s="131" t="str">
        <f>INDEX(WTB!$A:$B,MATCH(H$6,WTB!$A:$A,),2)</f>
        <v>Accounts Payable</v>
      </c>
      <c r="I5" s="75" t="str">
        <f>INDEX(WTB!$A:$B,MATCH(I$6,WTB!$A:$A,),2)</f>
        <v>SSS Premium Payable</v>
      </c>
      <c r="J5" s="75" t="str">
        <f>INDEX(WTB!$A:$B,MATCH(J$6,WTB!$A:$A,),2)</f>
        <v>SSS Loan Payable</v>
      </c>
      <c r="K5" s="75" t="str">
        <f>INDEX(WTB!$A:$B,MATCH(K$6,WTB!$A:$A,),2)</f>
        <v>PHIC Premium Payable</v>
      </c>
      <c r="L5" s="75" t="str">
        <f>INDEX(WTB!$A:$B,MATCH(L$6,WTB!$A:$A,),2)</f>
        <v>HDMF Premium Payable</v>
      </c>
      <c r="M5" s="75" t="str">
        <f>INDEX(WTB!$A:$B,MATCH(M$6,WTB!$A:$A,),2)</f>
        <v>HDMF Loan Payable</v>
      </c>
      <c r="N5" s="75" t="str">
        <f>INDEX(WTB!$A:$B,MATCH(N$6,WTB!$A:$A,),2)</f>
        <v>Employee Bank Loan</v>
      </c>
      <c r="O5" s="75" t="str">
        <f>INDEX(WTB!$A:$B,MATCH(O$6,WTB!$A:$A,),2)</f>
        <v>Service Charge Payable</v>
      </c>
      <c r="P5" s="75" t="str">
        <f>INDEX(WTB!$A:$B,MATCH(P$6,WTB!$A:$A,),2)</f>
        <v>Petty Cash</v>
      </c>
      <c r="Q5" s="75" t="str">
        <f>INDEX(WTB!$A:$B,MATCH(Q$6,WTB!$A:$A,),2)</f>
        <v>Salaries Payable</v>
      </c>
      <c r="R5" s="75" t="str">
        <f>INDEX(WTB!$A:$B,MATCH(R$6,WTB!$A:$A,),2)</f>
        <v>Withholding Tax - E</v>
      </c>
      <c r="S5" s="75" t="str">
        <f>INDEX(WTB!$A:$B,MATCH(S$6,WTB!$A:$A,),2)</f>
        <v>VAT Payable</v>
      </c>
      <c r="T5" s="99"/>
      <c r="U5" s="75" t="s">
        <v>3</v>
      </c>
      <c r="V5" s="98"/>
    </row>
    <row r="6" spans="1:2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132">
        <v>1101</v>
      </c>
      <c r="H6" s="132">
        <v>2101</v>
      </c>
      <c r="I6" s="76">
        <v>2301</v>
      </c>
      <c r="J6" s="76">
        <v>2302</v>
      </c>
      <c r="K6" s="76">
        <v>2303</v>
      </c>
      <c r="L6" s="76">
        <v>2304</v>
      </c>
      <c r="M6" s="76">
        <v>2305</v>
      </c>
      <c r="N6" s="76">
        <v>2306</v>
      </c>
      <c r="O6" s="76">
        <v>2401</v>
      </c>
      <c r="P6" s="76">
        <v>1111</v>
      </c>
      <c r="Q6" s="76">
        <v>2300</v>
      </c>
      <c r="R6" s="76">
        <v>2201</v>
      </c>
      <c r="S6" s="76">
        <v>2205</v>
      </c>
      <c r="T6" s="8"/>
      <c r="U6" s="7" t="s">
        <v>8</v>
      </c>
      <c r="V6" s="7" t="s">
        <v>11</v>
      </c>
    </row>
    <row r="7" spans="1:22">
      <c r="A7" s="127"/>
      <c r="B7" s="128"/>
      <c r="C7" s="127"/>
      <c r="D7" s="128"/>
      <c r="E7" s="129"/>
      <c r="F7" s="128"/>
      <c r="G7" s="133"/>
      <c r="H7" s="13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05">
        <f>SUM(G7:S7)</f>
        <v>0</v>
      </c>
      <c r="U7" s="9"/>
      <c r="V7" s="10"/>
    </row>
    <row r="8" spans="1:22">
      <c r="A8" s="130"/>
      <c r="B8" s="102"/>
      <c r="C8" s="130"/>
      <c r="D8" s="102"/>
      <c r="E8" s="102"/>
      <c r="F8" s="102"/>
      <c r="G8" s="133"/>
      <c r="H8" s="13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05">
        <f t="shared" ref="T8:T71" si="0">SUM(G8:S8)</f>
        <v>0</v>
      </c>
      <c r="U8" s="17"/>
      <c r="V8" s="14"/>
    </row>
    <row r="9" spans="1:22">
      <c r="A9" s="130"/>
      <c r="B9" s="102"/>
      <c r="C9" s="130"/>
      <c r="D9" s="102"/>
      <c r="E9" s="102"/>
      <c r="F9" s="102"/>
      <c r="G9" s="133"/>
      <c r="H9" s="13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05">
        <f t="shared" si="0"/>
        <v>0</v>
      </c>
      <c r="U9" s="17"/>
      <c r="V9" s="14"/>
    </row>
    <row r="10" spans="1:22">
      <c r="A10" s="130"/>
      <c r="B10" s="102"/>
      <c r="C10" s="130"/>
      <c r="D10" s="102"/>
      <c r="E10" s="102"/>
      <c r="F10" s="102"/>
      <c r="G10" s="133"/>
      <c r="H10" s="13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05">
        <f t="shared" si="0"/>
        <v>0</v>
      </c>
      <c r="U10" s="17"/>
      <c r="V10" s="14"/>
    </row>
    <row r="11" spans="1:22">
      <c r="A11" s="130"/>
      <c r="B11" s="102"/>
      <c r="C11" s="130"/>
      <c r="D11" s="102"/>
      <c r="E11" s="102"/>
      <c r="F11" s="102"/>
      <c r="G11" s="133"/>
      <c r="H11" s="13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05">
        <f t="shared" si="0"/>
        <v>0</v>
      </c>
      <c r="U11" s="17"/>
      <c r="V11" s="14"/>
    </row>
    <row r="12" spans="1:22">
      <c r="A12" s="130"/>
      <c r="B12" s="102"/>
      <c r="C12" s="130"/>
      <c r="D12" s="102"/>
      <c r="E12" s="102"/>
      <c r="F12" s="102"/>
      <c r="G12" s="133"/>
      <c r="H12" s="13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05">
        <f t="shared" si="0"/>
        <v>0</v>
      </c>
      <c r="U12" s="17"/>
      <c r="V12" s="14"/>
    </row>
    <row r="13" spans="1:22">
      <c r="A13" s="130"/>
      <c r="B13" s="102"/>
      <c r="C13" s="130"/>
      <c r="D13" s="102"/>
      <c r="E13" s="102"/>
      <c r="F13" s="102"/>
      <c r="G13" s="133"/>
      <c r="H13" s="13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5">
        <f t="shared" si="0"/>
        <v>0</v>
      </c>
      <c r="U13" s="17"/>
      <c r="V13" s="14"/>
    </row>
    <row r="14" spans="1:22">
      <c r="A14" s="130"/>
      <c r="B14" s="102"/>
      <c r="C14" s="130"/>
      <c r="D14" s="102"/>
      <c r="E14" s="102"/>
      <c r="F14" s="102"/>
      <c r="G14" s="133"/>
      <c r="H14" s="10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5">
        <f t="shared" si="0"/>
        <v>0</v>
      </c>
      <c r="U14" s="17"/>
      <c r="V14" s="14"/>
    </row>
    <row r="15" spans="1:22">
      <c r="A15" s="130"/>
      <c r="B15" s="102"/>
      <c r="C15" s="130"/>
      <c r="D15" s="102"/>
      <c r="E15" s="102"/>
      <c r="F15" s="102"/>
      <c r="G15" s="133"/>
      <c r="H15" s="13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5">
        <f t="shared" si="0"/>
        <v>0</v>
      </c>
      <c r="U15" s="17"/>
      <c r="V15" s="14"/>
    </row>
    <row r="16" spans="1:22">
      <c r="A16" s="130"/>
      <c r="B16" s="102"/>
      <c r="C16" s="130"/>
      <c r="D16" s="102"/>
      <c r="E16" s="102"/>
      <c r="F16" s="102"/>
      <c r="G16" s="133"/>
      <c r="H16" s="10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05">
        <f t="shared" si="0"/>
        <v>0</v>
      </c>
      <c r="U16" s="17"/>
      <c r="V16" s="14"/>
    </row>
    <row r="17" spans="1:22">
      <c r="A17" s="130"/>
      <c r="B17" s="102"/>
      <c r="C17" s="130"/>
      <c r="D17" s="102"/>
      <c r="E17" s="102"/>
      <c r="F17" s="102"/>
      <c r="G17" s="133"/>
      <c r="H17" s="10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05">
        <f t="shared" si="0"/>
        <v>0</v>
      </c>
      <c r="U17" s="17"/>
      <c r="V17" s="14"/>
    </row>
    <row r="18" spans="1:22">
      <c r="A18" s="130"/>
      <c r="B18" s="102"/>
      <c r="C18" s="130"/>
      <c r="D18" s="102"/>
      <c r="E18" s="102"/>
      <c r="F18" s="102"/>
      <c r="G18" s="133"/>
      <c r="H18" s="10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05">
        <f t="shared" si="0"/>
        <v>0</v>
      </c>
      <c r="U18" s="17"/>
      <c r="V18" s="14"/>
    </row>
    <row r="19" spans="1:22">
      <c r="A19" s="130"/>
      <c r="B19" s="102"/>
      <c r="C19" s="130"/>
      <c r="D19" s="102"/>
      <c r="E19" s="102"/>
      <c r="F19" s="102"/>
      <c r="G19" s="133"/>
      <c r="H19" s="10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05">
        <f t="shared" si="0"/>
        <v>0</v>
      </c>
      <c r="U19" s="17"/>
      <c r="V19" s="14"/>
    </row>
    <row r="20" spans="1:22">
      <c r="A20" s="130"/>
      <c r="B20" s="102"/>
      <c r="C20" s="130"/>
      <c r="D20" s="102"/>
      <c r="E20" s="102"/>
      <c r="F20" s="102"/>
      <c r="G20" s="133"/>
      <c r="H20" s="10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05">
        <f t="shared" si="0"/>
        <v>0</v>
      </c>
      <c r="U20" s="17"/>
      <c r="V20" s="14"/>
    </row>
    <row r="21" spans="1:22">
      <c r="A21" s="130"/>
      <c r="B21" s="102"/>
      <c r="C21" s="130"/>
      <c r="D21" s="102"/>
      <c r="E21" s="102"/>
      <c r="F21" s="102"/>
      <c r="G21" s="133"/>
      <c r="H21" s="10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5">
        <f t="shared" si="0"/>
        <v>0</v>
      </c>
      <c r="U21" s="17"/>
      <c r="V21" s="14"/>
    </row>
    <row r="22" spans="1:22">
      <c r="A22" s="130"/>
      <c r="B22" s="102"/>
      <c r="C22" s="130"/>
      <c r="D22" s="102"/>
      <c r="E22" s="102"/>
      <c r="F22" s="102"/>
      <c r="G22" s="133"/>
      <c r="H22" s="10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05">
        <f t="shared" si="0"/>
        <v>0</v>
      </c>
      <c r="U22" s="17"/>
      <c r="V22" s="14"/>
    </row>
    <row r="23" spans="1:22">
      <c r="A23" s="130"/>
      <c r="B23" s="102"/>
      <c r="C23" s="130"/>
      <c r="D23" s="102"/>
      <c r="E23" s="102"/>
      <c r="F23" s="102"/>
      <c r="G23" s="133"/>
      <c r="H23" s="10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05">
        <f t="shared" si="0"/>
        <v>0</v>
      </c>
      <c r="U23" s="17"/>
      <c r="V23" s="14"/>
    </row>
    <row r="24" spans="1:22">
      <c r="A24" s="130"/>
      <c r="B24" s="102"/>
      <c r="C24" s="130"/>
      <c r="D24" s="102"/>
      <c r="E24" s="102"/>
      <c r="F24" s="102"/>
      <c r="G24" s="133"/>
      <c r="H24" s="10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05">
        <f t="shared" si="0"/>
        <v>0</v>
      </c>
      <c r="U24" s="17"/>
      <c r="V24" s="14"/>
    </row>
    <row r="25" spans="1:22">
      <c r="A25" s="130"/>
      <c r="B25" s="102"/>
      <c r="C25" s="130"/>
      <c r="D25" s="102"/>
      <c r="E25" s="102"/>
      <c r="F25" s="102"/>
      <c r="G25" s="133"/>
      <c r="H25" s="10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05">
        <f t="shared" si="0"/>
        <v>0</v>
      </c>
      <c r="U25" s="17"/>
      <c r="V25" s="14"/>
    </row>
    <row r="26" spans="1:22">
      <c r="A26" s="130"/>
      <c r="B26" s="102"/>
      <c r="C26" s="130"/>
      <c r="D26" s="102"/>
      <c r="E26" s="102"/>
      <c r="F26" s="102"/>
      <c r="G26" s="133"/>
      <c r="H26" s="10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5">
        <f t="shared" si="0"/>
        <v>0</v>
      </c>
      <c r="U26" s="17"/>
      <c r="V26" s="14"/>
    </row>
    <row r="27" spans="1:22">
      <c r="A27" s="130"/>
      <c r="B27" s="102"/>
      <c r="C27" s="130"/>
      <c r="D27" s="102"/>
      <c r="E27" s="102"/>
      <c r="F27" s="102"/>
      <c r="G27" s="133"/>
      <c r="H27" s="10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05">
        <f t="shared" si="0"/>
        <v>0</v>
      </c>
      <c r="U27" s="17"/>
      <c r="V27" s="14"/>
    </row>
    <row r="28" spans="1:22">
      <c r="A28" s="130"/>
      <c r="B28" s="102"/>
      <c r="C28" s="130"/>
      <c r="D28" s="102"/>
      <c r="E28" s="102"/>
      <c r="F28" s="102"/>
      <c r="G28" s="133"/>
      <c r="H28" s="10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05">
        <f t="shared" si="0"/>
        <v>0</v>
      </c>
      <c r="U28" s="17"/>
      <c r="V28" s="14"/>
    </row>
    <row r="29" spans="1:22">
      <c r="A29" s="130"/>
      <c r="B29" s="102"/>
      <c r="C29" s="130"/>
      <c r="D29" s="102"/>
      <c r="E29" s="102"/>
      <c r="F29" s="102"/>
      <c r="G29" s="133"/>
      <c r="H29" s="10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05">
        <f t="shared" si="0"/>
        <v>0</v>
      </c>
      <c r="U29" s="17"/>
      <c r="V29" s="14"/>
    </row>
    <row r="30" spans="1:22">
      <c r="A30" s="130"/>
      <c r="B30" s="102"/>
      <c r="C30" s="130"/>
      <c r="D30" s="102"/>
      <c r="E30" s="102"/>
      <c r="F30" s="102"/>
      <c r="G30" s="133"/>
      <c r="H30" s="10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05">
        <f t="shared" si="0"/>
        <v>0</v>
      </c>
      <c r="U30" s="17"/>
      <c r="V30" s="14"/>
    </row>
    <row r="31" spans="1:22">
      <c r="A31" s="130"/>
      <c r="B31" s="102"/>
      <c r="C31" s="130"/>
      <c r="D31" s="102"/>
      <c r="E31" s="102"/>
      <c r="F31" s="102"/>
      <c r="G31" s="133"/>
      <c r="H31" s="10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05">
        <f t="shared" si="0"/>
        <v>0</v>
      </c>
      <c r="U31" s="17"/>
      <c r="V31" s="14"/>
    </row>
    <row r="32" spans="1:22">
      <c r="A32" s="130"/>
      <c r="B32" s="102"/>
      <c r="C32" s="130"/>
      <c r="D32" s="102"/>
      <c r="E32" s="102"/>
      <c r="F32" s="102"/>
      <c r="G32" s="133"/>
      <c r="H32" s="10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05">
        <f t="shared" si="0"/>
        <v>0</v>
      </c>
      <c r="U32" s="17"/>
      <c r="V32" s="14"/>
    </row>
    <row r="33" spans="1:22">
      <c r="A33" s="130"/>
      <c r="B33" s="102"/>
      <c r="C33" s="130"/>
      <c r="D33" s="102"/>
      <c r="E33" s="102"/>
      <c r="F33" s="102"/>
      <c r="G33" s="133"/>
      <c r="H33" s="10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05">
        <f t="shared" si="0"/>
        <v>0</v>
      </c>
      <c r="U33" s="17"/>
      <c r="V33" s="14"/>
    </row>
    <row r="34" spans="1:22">
      <c r="A34" s="130"/>
      <c r="B34" s="102"/>
      <c r="C34" s="130"/>
      <c r="D34" s="102"/>
      <c r="E34" s="102"/>
      <c r="F34" s="102"/>
      <c r="G34" s="133"/>
      <c r="H34" s="10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05">
        <f t="shared" si="0"/>
        <v>0</v>
      </c>
      <c r="U34" s="17"/>
      <c r="V34" s="14"/>
    </row>
    <row r="35" spans="1:22">
      <c r="A35" s="130"/>
      <c r="B35" s="102"/>
      <c r="C35" s="130"/>
      <c r="D35" s="102"/>
      <c r="E35" s="102"/>
      <c r="F35" s="102"/>
      <c r="G35" s="133"/>
      <c r="H35" s="10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05">
        <f t="shared" si="0"/>
        <v>0</v>
      </c>
      <c r="U35" s="17"/>
      <c r="V35" s="14"/>
    </row>
    <row r="36" spans="1:22">
      <c r="A36" s="130"/>
      <c r="B36" s="102"/>
      <c r="C36" s="130"/>
      <c r="D36" s="102"/>
      <c r="E36" s="102"/>
      <c r="F36" s="102"/>
      <c r="G36" s="133"/>
      <c r="H36" s="10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05">
        <f t="shared" si="0"/>
        <v>0</v>
      </c>
      <c r="U36" s="17"/>
      <c r="V36" s="14"/>
    </row>
    <row r="37" spans="1:22">
      <c r="A37" s="130"/>
      <c r="B37" s="102"/>
      <c r="C37" s="130"/>
      <c r="D37" s="102"/>
      <c r="E37" s="102"/>
      <c r="F37" s="102"/>
      <c r="G37" s="133"/>
      <c r="H37" s="10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05">
        <f t="shared" si="0"/>
        <v>0</v>
      </c>
      <c r="U37" s="17"/>
      <c r="V37" s="14"/>
    </row>
    <row r="38" spans="1:22">
      <c r="A38" s="130"/>
      <c r="B38" s="102"/>
      <c r="C38" s="130"/>
      <c r="D38" s="102"/>
      <c r="E38" s="102"/>
      <c r="F38" s="102"/>
      <c r="G38" s="133"/>
      <c r="H38" s="10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05">
        <f t="shared" si="0"/>
        <v>0</v>
      </c>
      <c r="U38" s="17"/>
      <c r="V38" s="14"/>
    </row>
    <row r="39" spans="1:22">
      <c r="A39" s="130"/>
      <c r="B39" s="102"/>
      <c r="C39" s="130"/>
      <c r="D39" s="102"/>
      <c r="E39" s="102"/>
      <c r="F39" s="102"/>
      <c r="G39" s="133"/>
      <c r="H39" s="10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05">
        <f t="shared" si="0"/>
        <v>0</v>
      </c>
      <c r="U39" s="17"/>
      <c r="V39" s="14"/>
    </row>
    <row r="40" spans="1:22">
      <c r="A40" s="130"/>
      <c r="B40" s="102"/>
      <c r="C40" s="130"/>
      <c r="D40" s="102"/>
      <c r="E40" s="102"/>
      <c r="F40" s="102"/>
      <c r="G40" s="133"/>
      <c r="H40" s="10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05">
        <f t="shared" si="0"/>
        <v>0</v>
      </c>
      <c r="U40" s="17"/>
      <c r="V40" s="14"/>
    </row>
    <row r="41" spans="1:22">
      <c r="A41" s="130"/>
      <c r="B41" s="102"/>
      <c r="C41" s="130"/>
      <c r="D41" s="102"/>
      <c r="E41" s="102"/>
      <c r="F41" s="102"/>
      <c r="G41" s="133"/>
      <c r="H41" s="10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05">
        <f t="shared" si="0"/>
        <v>0</v>
      </c>
      <c r="U41" s="17"/>
      <c r="V41" s="14"/>
    </row>
    <row r="42" spans="1:22">
      <c r="A42" s="130"/>
      <c r="B42" s="102"/>
      <c r="C42" s="130"/>
      <c r="D42" s="102"/>
      <c r="E42" s="102"/>
      <c r="F42" s="102"/>
      <c r="G42" s="133"/>
      <c r="H42" s="10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05">
        <f t="shared" si="0"/>
        <v>0</v>
      </c>
      <c r="U42" s="17"/>
      <c r="V42" s="14"/>
    </row>
    <row r="43" spans="1:22">
      <c r="A43" s="130"/>
      <c r="B43" s="102"/>
      <c r="C43" s="130"/>
      <c r="D43" s="102"/>
      <c r="E43" s="102"/>
      <c r="F43" s="102"/>
      <c r="G43" s="133"/>
      <c r="H43" s="10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05">
        <f t="shared" si="0"/>
        <v>0</v>
      </c>
      <c r="U43" s="17"/>
      <c r="V43" s="14"/>
    </row>
    <row r="44" spans="1:22">
      <c r="A44" s="130"/>
      <c r="B44" s="102"/>
      <c r="C44" s="130"/>
      <c r="D44" s="102"/>
      <c r="E44" s="102"/>
      <c r="F44" s="102"/>
      <c r="G44" s="133"/>
      <c r="H44" s="10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05">
        <f t="shared" si="0"/>
        <v>0</v>
      </c>
      <c r="U44" s="17"/>
      <c r="V44" s="14"/>
    </row>
    <row r="45" spans="1:22">
      <c r="A45" s="130"/>
      <c r="B45" s="102"/>
      <c r="C45" s="130"/>
      <c r="D45" s="102"/>
      <c r="E45" s="102"/>
      <c r="F45" s="102"/>
      <c r="G45" s="133"/>
      <c r="H45" s="10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05">
        <f t="shared" si="0"/>
        <v>0</v>
      </c>
      <c r="U45" s="17"/>
      <c r="V45" s="14"/>
    </row>
    <row r="46" spans="1:22">
      <c r="A46" s="130"/>
      <c r="B46" s="102"/>
      <c r="C46" s="130"/>
      <c r="D46" s="102"/>
      <c r="E46" s="102"/>
      <c r="F46" s="102"/>
      <c r="G46" s="133"/>
      <c r="H46" s="10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05">
        <f t="shared" si="0"/>
        <v>0</v>
      </c>
      <c r="U46" s="17"/>
      <c r="V46" s="14"/>
    </row>
    <row r="47" spans="1:22">
      <c r="A47" s="130"/>
      <c r="B47" s="102"/>
      <c r="C47" s="130"/>
      <c r="D47" s="102"/>
      <c r="E47" s="102"/>
      <c r="F47" s="102"/>
      <c r="G47" s="133"/>
      <c r="H47" s="10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05">
        <f t="shared" si="0"/>
        <v>0</v>
      </c>
      <c r="U47" s="17"/>
      <c r="V47" s="14"/>
    </row>
    <row r="48" spans="1:22">
      <c r="A48" s="130"/>
      <c r="B48" s="102"/>
      <c r="C48" s="130"/>
      <c r="D48" s="102"/>
      <c r="E48" s="102"/>
      <c r="F48" s="102"/>
      <c r="G48" s="133"/>
      <c r="H48" s="10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05">
        <f t="shared" si="0"/>
        <v>0</v>
      </c>
      <c r="U48" s="17"/>
      <c r="V48" s="14"/>
    </row>
    <row r="49" spans="1:22">
      <c r="A49" s="130"/>
      <c r="B49" s="102"/>
      <c r="C49" s="130"/>
      <c r="D49" s="102"/>
      <c r="E49" s="102"/>
      <c r="F49" s="102"/>
      <c r="G49" s="133"/>
      <c r="H49" s="10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05">
        <f t="shared" si="0"/>
        <v>0</v>
      </c>
      <c r="U49" s="17"/>
      <c r="V49" s="14"/>
    </row>
    <row r="50" spans="1:22">
      <c r="A50" s="130"/>
      <c r="B50" s="102"/>
      <c r="C50" s="130"/>
      <c r="D50" s="102"/>
      <c r="E50" s="102"/>
      <c r="F50" s="102"/>
      <c r="G50" s="133"/>
      <c r="H50" s="10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05">
        <f t="shared" si="0"/>
        <v>0</v>
      </c>
      <c r="U50" s="17"/>
      <c r="V50" s="14"/>
    </row>
    <row r="51" spans="1:22">
      <c r="A51" s="130"/>
      <c r="B51" s="102"/>
      <c r="C51" s="130"/>
      <c r="D51" s="102"/>
      <c r="E51" s="102"/>
      <c r="F51" s="102"/>
      <c r="G51" s="133"/>
      <c r="H51" s="10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05">
        <f t="shared" si="0"/>
        <v>0</v>
      </c>
      <c r="U51" s="17"/>
      <c r="V51" s="14"/>
    </row>
    <row r="52" spans="1:22">
      <c r="A52" s="130"/>
      <c r="B52" s="102"/>
      <c r="C52" s="130"/>
      <c r="D52" s="102"/>
      <c r="E52" s="102"/>
      <c r="F52" s="102"/>
      <c r="G52" s="133"/>
      <c r="H52" s="10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05">
        <f t="shared" si="0"/>
        <v>0</v>
      </c>
      <c r="U52" s="17"/>
      <c r="V52" s="14"/>
    </row>
    <row r="53" spans="1:22">
      <c r="A53" s="130"/>
      <c r="B53" s="102"/>
      <c r="C53" s="130"/>
      <c r="D53" s="102"/>
      <c r="E53" s="102"/>
      <c r="F53" s="102"/>
      <c r="G53" s="133"/>
      <c r="H53" s="10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05">
        <f t="shared" si="0"/>
        <v>0</v>
      </c>
      <c r="U53" s="17"/>
      <c r="V53" s="14"/>
    </row>
    <row r="54" spans="1:22">
      <c r="A54" s="130"/>
      <c r="B54" s="102"/>
      <c r="C54" s="130"/>
      <c r="D54" s="102"/>
      <c r="E54" s="102"/>
      <c r="F54" s="102"/>
      <c r="G54" s="133"/>
      <c r="H54" s="10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05">
        <f t="shared" si="0"/>
        <v>0</v>
      </c>
      <c r="U54" s="17"/>
      <c r="V54" s="14"/>
    </row>
    <row r="55" spans="1:22">
      <c r="A55" s="130"/>
      <c r="B55" s="102"/>
      <c r="C55" s="130"/>
      <c r="D55" s="102"/>
      <c r="E55" s="102"/>
      <c r="F55" s="102"/>
      <c r="G55" s="133"/>
      <c r="H55" s="10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05">
        <f t="shared" si="0"/>
        <v>0</v>
      </c>
      <c r="U55" s="17"/>
      <c r="V55" s="14"/>
    </row>
    <row r="56" spans="1:22">
      <c r="A56" s="130"/>
      <c r="B56" s="102"/>
      <c r="C56" s="130"/>
      <c r="D56" s="102"/>
      <c r="E56" s="102"/>
      <c r="F56" s="102"/>
      <c r="G56" s="133"/>
      <c r="H56" s="10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05">
        <f t="shared" si="0"/>
        <v>0</v>
      </c>
      <c r="U56" s="17"/>
      <c r="V56" s="14"/>
    </row>
    <row r="57" spans="1:22">
      <c r="A57" s="130"/>
      <c r="B57" s="102"/>
      <c r="C57" s="130"/>
      <c r="D57" s="102"/>
      <c r="E57" s="102"/>
      <c r="F57" s="102"/>
      <c r="G57" s="133"/>
      <c r="H57" s="10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05">
        <f t="shared" si="0"/>
        <v>0</v>
      </c>
      <c r="U57" s="17"/>
      <c r="V57" s="14"/>
    </row>
    <row r="58" spans="1:22">
      <c r="A58" s="130"/>
      <c r="B58" s="102"/>
      <c r="C58" s="130"/>
      <c r="D58" s="102"/>
      <c r="E58" s="102"/>
      <c r="F58" s="102"/>
      <c r="G58" s="133"/>
      <c r="H58" s="10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05">
        <f t="shared" si="0"/>
        <v>0</v>
      </c>
      <c r="U58" s="17"/>
      <c r="V58" s="14"/>
    </row>
    <row r="59" spans="1:22">
      <c r="A59" s="130"/>
      <c r="B59" s="102"/>
      <c r="C59" s="130"/>
      <c r="D59" s="102"/>
      <c r="E59" s="102"/>
      <c r="F59" s="102"/>
      <c r="G59" s="133"/>
      <c r="H59" s="10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05">
        <f t="shared" si="0"/>
        <v>0</v>
      </c>
      <c r="U59" s="17"/>
      <c r="V59" s="14"/>
    </row>
    <row r="60" spans="1:22">
      <c r="A60" s="130"/>
      <c r="B60" s="102"/>
      <c r="C60" s="130"/>
      <c r="D60" s="102"/>
      <c r="E60" s="102"/>
      <c r="F60" s="102"/>
      <c r="G60" s="133"/>
      <c r="H60" s="10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05">
        <f t="shared" si="0"/>
        <v>0</v>
      </c>
      <c r="U60" s="17"/>
      <c r="V60" s="14"/>
    </row>
    <row r="61" spans="1:22">
      <c r="A61" s="130"/>
      <c r="B61" s="102"/>
      <c r="C61" s="130"/>
      <c r="D61" s="102"/>
      <c r="E61" s="102"/>
      <c r="F61" s="102"/>
      <c r="G61" s="133"/>
      <c r="H61" s="10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05">
        <f t="shared" si="0"/>
        <v>0</v>
      </c>
      <c r="U61" s="17"/>
      <c r="V61" s="14"/>
    </row>
    <row r="62" spans="1:22">
      <c r="A62" s="130"/>
      <c r="B62" s="102"/>
      <c r="C62" s="130"/>
      <c r="D62" s="102"/>
      <c r="E62" s="102"/>
      <c r="F62" s="102"/>
      <c r="G62" s="133"/>
      <c r="H62" s="10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05">
        <f t="shared" si="0"/>
        <v>0</v>
      </c>
      <c r="U62" s="17"/>
      <c r="V62" s="14"/>
    </row>
    <row r="63" spans="1:22">
      <c r="A63" s="130"/>
      <c r="B63" s="102"/>
      <c r="C63" s="130"/>
      <c r="D63" s="102"/>
      <c r="E63" s="102"/>
      <c r="F63" s="102"/>
      <c r="G63" s="133"/>
      <c r="H63" s="10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05">
        <f t="shared" si="0"/>
        <v>0</v>
      </c>
      <c r="U63" s="17"/>
      <c r="V63" s="14"/>
    </row>
    <row r="64" spans="1:22">
      <c r="A64" s="130"/>
      <c r="B64" s="102"/>
      <c r="C64" s="130"/>
      <c r="D64" s="102"/>
      <c r="E64" s="102"/>
      <c r="F64" s="102"/>
      <c r="G64" s="133"/>
      <c r="H64" s="10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05">
        <f t="shared" si="0"/>
        <v>0</v>
      </c>
      <c r="U64" s="17"/>
      <c r="V64" s="14"/>
    </row>
    <row r="65" spans="1:22">
      <c r="A65" s="130"/>
      <c r="B65" s="102"/>
      <c r="C65" s="130"/>
      <c r="D65" s="102"/>
      <c r="E65" s="102"/>
      <c r="F65" s="102"/>
      <c r="G65" s="133"/>
      <c r="H65" s="10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05">
        <f t="shared" si="0"/>
        <v>0</v>
      </c>
      <c r="U65" s="17"/>
      <c r="V65" s="14"/>
    </row>
    <row r="66" spans="1:22">
      <c r="A66" s="130"/>
      <c r="B66" s="102"/>
      <c r="C66" s="130"/>
      <c r="D66" s="102"/>
      <c r="E66" s="102"/>
      <c r="F66" s="102"/>
      <c r="G66" s="133"/>
      <c r="H66" s="10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05">
        <f t="shared" si="0"/>
        <v>0</v>
      </c>
      <c r="U66" s="17"/>
      <c r="V66" s="14"/>
    </row>
    <row r="67" spans="1:22">
      <c r="A67" s="130"/>
      <c r="B67" s="102"/>
      <c r="C67" s="130"/>
      <c r="D67" s="102"/>
      <c r="E67" s="102"/>
      <c r="F67" s="102"/>
      <c r="G67" s="133"/>
      <c r="H67" s="10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05">
        <f t="shared" si="0"/>
        <v>0</v>
      </c>
      <c r="U67" s="17"/>
      <c r="V67" s="14"/>
    </row>
    <row r="68" spans="1:22">
      <c r="A68" s="130"/>
      <c r="B68" s="102"/>
      <c r="C68" s="130"/>
      <c r="D68" s="102"/>
      <c r="E68" s="102"/>
      <c r="F68" s="102"/>
      <c r="G68" s="133"/>
      <c r="H68" s="10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05">
        <f t="shared" si="0"/>
        <v>0</v>
      </c>
      <c r="U68" s="17"/>
      <c r="V68" s="14"/>
    </row>
    <row r="69" spans="1:22">
      <c r="A69" s="130"/>
      <c r="B69" s="102"/>
      <c r="C69" s="130"/>
      <c r="D69" s="102"/>
      <c r="E69" s="102"/>
      <c r="F69" s="102"/>
      <c r="G69" s="133"/>
      <c r="H69" s="10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05">
        <f t="shared" si="0"/>
        <v>0</v>
      </c>
      <c r="U69" s="17"/>
      <c r="V69" s="14"/>
    </row>
    <row r="70" spans="1:22">
      <c r="A70" s="130"/>
      <c r="B70" s="102"/>
      <c r="C70" s="130"/>
      <c r="D70" s="102"/>
      <c r="E70" s="102"/>
      <c r="F70" s="102"/>
      <c r="G70" s="133"/>
      <c r="H70" s="10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05">
        <f t="shared" si="0"/>
        <v>0</v>
      </c>
      <c r="U70" s="17"/>
      <c r="V70" s="14"/>
    </row>
    <row r="71" spans="1:22">
      <c r="A71" s="130"/>
      <c r="B71" s="102"/>
      <c r="C71" s="130"/>
      <c r="D71" s="102"/>
      <c r="E71" s="102"/>
      <c r="F71" s="107"/>
      <c r="G71" s="133"/>
      <c r="H71" s="10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05">
        <f t="shared" si="0"/>
        <v>0</v>
      </c>
      <c r="U71" s="17"/>
      <c r="V71" s="14"/>
    </row>
    <row r="72" spans="1:22">
      <c r="A72" s="130"/>
      <c r="B72" s="102"/>
      <c r="C72" s="130"/>
      <c r="D72" s="102"/>
      <c r="E72" s="102"/>
      <c r="F72" s="107"/>
      <c r="G72" s="133"/>
      <c r="H72" s="10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05">
        <f t="shared" ref="T72:T135" si="1">SUM(G72:S72)</f>
        <v>0</v>
      </c>
      <c r="U72" s="17"/>
      <c r="V72" s="14"/>
    </row>
    <row r="73" spans="1:22">
      <c r="A73" s="130"/>
      <c r="B73" s="102"/>
      <c r="C73" s="130"/>
      <c r="D73" s="102"/>
      <c r="E73" s="102"/>
      <c r="F73" s="102"/>
      <c r="G73" s="133"/>
      <c r="H73" s="10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05">
        <f t="shared" si="1"/>
        <v>0</v>
      </c>
      <c r="U73" s="17"/>
      <c r="V73" s="14"/>
    </row>
    <row r="74" spans="1:22">
      <c r="A74" s="130"/>
      <c r="B74" s="102"/>
      <c r="C74" s="130"/>
      <c r="D74" s="102"/>
      <c r="E74" s="102"/>
      <c r="F74" s="102"/>
      <c r="G74" s="133"/>
      <c r="H74" s="10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05">
        <f t="shared" si="1"/>
        <v>0</v>
      </c>
      <c r="U74" s="17"/>
      <c r="V74" s="14"/>
    </row>
    <row r="75" spans="1:22">
      <c r="A75" s="130"/>
      <c r="B75" s="102"/>
      <c r="C75" s="130"/>
      <c r="D75" s="102"/>
      <c r="E75" s="102"/>
      <c r="F75" s="102"/>
      <c r="G75" s="133"/>
      <c r="H75" s="103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05">
        <f t="shared" si="1"/>
        <v>0</v>
      </c>
      <c r="U75" s="17"/>
      <c r="V75" s="14"/>
    </row>
    <row r="76" spans="1:22">
      <c r="A76" s="130"/>
      <c r="B76" s="102"/>
      <c r="C76" s="130"/>
      <c r="D76" s="102"/>
      <c r="E76" s="102"/>
      <c r="F76" s="102"/>
      <c r="G76" s="133"/>
      <c r="H76" s="103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05">
        <f t="shared" si="1"/>
        <v>0</v>
      </c>
      <c r="U76" s="17"/>
      <c r="V76" s="14"/>
    </row>
    <row r="77" spans="1:22">
      <c r="A77" s="130"/>
      <c r="B77" s="102"/>
      <c r="C77" s="130"/>
      <c r="D77" s="102"/>
      <c r="E77" s="102"/>
      <c r="F77" s="102"/>
      <c r="G77" s="133"/>
      <c r="H77" s="103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05">
        <f t="shared" si="1"/>
        <v>0</v>
      </c>
      <c r="U77" s="17"/>
      <c r="V77" s="14"/>
    </row>
    <row r="78" spans="1:22">
      <c r="A78" s="130"/>
      <c r="B78" s="102"/>
      <c r="C78" s="130"/>
      <c r="D78" s="102"/>
      <c r="E78" s="102"/>
      <c r="F78" s="102"/>
      <c r="G78" s="133"/>
      <c r="H78" s="103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05">
        <f t="shared" si="1"/>
        <v>0</v>
      </c>
      <c r="U78" s="17"/>
      <c r="V78" s="14"/>
    </row>
    <row r="79" spans="1:22">
      <c r="A79" s="130"/>
      <c r="B79" s="102"/>
      <c r="C79" s="130"/>
      <c r="D79" s="102"/>
      <c r="E79" s="102"/>
      <c r="F79" s="102"/>
      <c r="G79" s="133"/>
      <c r="H79" s="103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05">
        <f t="shared" si="1"/>
        <v>0</v>
      </c>
      <c r="U79" s="17"/>
      <c r="V79" s="14"/>
    </row>
    <row r="80" spans="1:22">
      <c r="A80" s="130"/>
      <c r="B80" s="102"/>
      <c r="C80" s="130"/>
      <c r="D80" s="102"/>
      <c r="E80" s="102"/>
      <c r="F80" s="102"/>
      <c r="G80" s="133"/>
      <c r="H80" s="103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05">
        <f t="shared" si="1"/>
        <v>0</v>
      </c>
      <c r="U80" s="17"/>
      <c r="V80" s="14"/>
    </row>
    <row r="81" spans="1:22">
      <c r="A81" s="130"/>
      <c r="B81" s="102"/>
      <c r="C81" s="130"/>
      <c r="D81" s="102"/>
      <c r="E81" s="102"/>
      <c r="F81" s="102"/>
      <c r="G81" s="133"/>
      <c r="H81" s="103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05">
        <f t="shared" si="1"/>
        <v>0</v>
      </c>
      <c r="U81" s="17"/>
      <c r="V81" s="14"/>
    </row>
    <row r="82" spans="1:22">
      <c r="A82" s="130"/>
      <c r="B82" s="102"/>
      <c r="C82" s="130"/>
      <c r="D82" s="102"/>
      <c r="E82" s="102"/>
      <c r="F82" s="102"/>
      <c r="G82" s="133"/>
      <c r="H82" s="103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05">
        <f t="shared" si="1"/>
        <v>0</v>
      </c>
      <c r="U82" s="17"/>
      <c r="V82" s="14"/>
    </row>
    <row r="83" spans="1:22">
      <c r="A83" s="130"/>
      <c r="B83" s="102"/>
      <c r="C83" s="130"/>
      <c r="D83" s="102"/>
      <c r="E83" s="102"/>
      <c r="F83" s="102"/>
      <c r="G83" s="133"/>
      <c r="H83" s="103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05">
        <f t="shared" si="1"/>
        <v>0</v>
      </c>
      <c r="U83" s="17"/>
      <c r="V83" s="14"/>
    </row>
    <row r="84" spans="1:22">
      <c r="A84" s="130"/>
      <c r="B84" s="102"/>
      <c r="C84" s="130"/>
      <c r="D84" s="102"/>
      <c r="E84" s="102"/>
      <c r="F84" s="102"/>
      <c r="G84" s="133"/>
      <c r="H84" s="103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05">
        <f t="shared" si="1"/>
        <v>0</v>
      </c>
      <c r="U84" s="17"/>
      <c r="V84" s="14"/>
    </row>
    <row r="85" spans="1:22">
      <c r="A85" s="130"/>
      <c r="B85" s="102"/>
      <c r="C85" s="130"/>
      <c r="D85" s="102"/>
      <c r="E85" s="102"/>
      <c r="F85" s="102"/>
      <c r="G85" s="133"/>
      <c r="H85" s="103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05">
        <f t="shared" si="1"/>
        <v>0</v>
      </c>
      <c r="U85" s="17"/>
      <c r="V85" s="14"/>
    </row>
    <row r="86" spans="1:22">
      <c r="A86" s="130"/>
      <c r="B86" s="102"/>
      <c r="C86" s="130"/>
      <c r="D86" s="102"/>
      <c r="E86" s="102"/>
      <c r="F86" s="102"/>
      <c r="G86" s="133"/>
      <c r="H86" s="103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05">
        <f t="shared" si="1"/>
        <v>0</v>
      </c>
      <c r="U86" s="17"/>
      <c r="V86" s="14"/>
    </row>
    <row r="87" spans="1:22">
      <c r="A87" s="130"/>
      <c r="B87" s="102"/>
      <c r="C87" s="130"/>
      <c r="D87" s="102"/>
      <c r="E87" s="102"/>
      <c r="F87" s="102"/>
      <c r="G87" s="133"/>
      <c r="H87" s="103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05">
        <f t="shared" si="1"/>
        <v>0</v>
      </c>
      <c r="U87" s="17"/>
      <c r="V87" s="14"/>
    </row>
    <row r="88" spans="1:22">
      <c r="A88" s="130"/>
      <c r="B88" s="102"/>
      <c r="C88" s="130"/>
      <c r="D88" s="102"/>
      <c r="E88" s="102"/>
      <c r="F88" s="102"/>
      <c r="G88" s="133"/>
      <c r="H88" s="10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05">
        <f t="shared" si="1"/>
        <v>0</v>
      </c>
      <c r="U88" s="17"/>
      <c r="V88" s="14"/>
    </row>
    <row r="89" spans="1:22">
      <c r="A89" s="130"/>
      <c r="B89" s="102"/>
      <c r="C89" s="130"/>
      <c r="D89" s="102"/>
      <c r="E89" s="102"/>
      <c r="F89" s="102"/>
      <c r="G89" s="133"/>
      <c r="H89" s="103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05">
        <f t="shared" si="1"/>
        <v>0</v>
      </c>
      <c r="U89" s="17"/>
      <c r="V89" s="14"/>
    </row>
    <row r="90" spans="1:22">
      <c r="A90" s="130"/>
      <c r="B90" s="102"/>
      <c r="C90" s="130"/>
      <c r="D90" s="102"/>
      <c r="E90" s="102"/>
      <c r="F90" s="102"/>
      <c r="G90" s="133"/>
      <c r="H90" s="103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05">
        <f t="shared" si="1"/>
        <v>0</v>
      </c>
      <c r="U90" s="17"/>
      <c r="V90" s="14"/>
    </row>
    <row r="91" spans="1:22">
      <c r="A91" s="130"/>
      <c r="B91" s="102"/>
      <c r="C91" s="130"/>
      <c r="D91" s="102"/>
      <c r="E91" s="102"/>
      <c r="F91" s="102"/>
      <c r="G91" s="133"/>
      <c r="H91" s="103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05">
        <f t="shared" si="1"/>
        <v>0</v>
      </c>
      <c r="U91" s="17"/>
      <c r="V91" s="14"/>
    </row>
    <row r="92" spans="1:22">
      <c r="A92" s="136"/>
      <c r="B92" s="137"/>
      <c r="C92" s="136"/>
      <c r="D92" s="137"/>
      <c r="E92" s="137"/>
      <c r="F92" s="137"/>
      <c r="G92" s="133"/>
      <c r="H92" s="134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05">
        <f t="shared" si="1"/>
        <v>0</v>
      </c>
      <c r="U92" s="18"/>
      <c r="V92" s="19"/>
    </row>
    <row r="93" spans="1:22">
      <c r="A93" s="136"/>
      <c r="B93" s="137"/>
      <c r="C93" s="136"/>
      <c r="D93" s="137"/>
      <c r="E93" s="137"/>
      <c r="F93" s="137"/>
      <c r="G93" s="133"/>
      <c r="H93" s="134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05">
        <f t="shared" si="1"/>
        <v>0</v>
      </c>
      <c r="U93" s="18"/>
      <c r="V93" s="19"/>
    </row>
    <row r="94" spans="1:22">
      <c r="A94" s="136"/>
      <c r="B94" s="137"/>
      <c r="C94" s="136"/>
      <c r="D94" s="137"/>
      <c r="E94" s="137"/>
      <c r="F94" s="137"/>
      <c r="G94" s="133"/>
      <c r="H94" s="134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05">
        <f t="shared" si="1"/>
        <v>0</v>
      </c>
      <c r="U94" s="18"/>
      <c r="V94" s="19"/>
    </row>
    <row r="95" spans="1:22">
      <c r="A95" s="136"/>
      <c r="B95" s="137"/>
      <c r="C95" s="136"/>
      <c r="D95" s="137"/>
      <c r="E95" s="137"/>
      <c r="F95" s="137"/>
      <c r="G95" s="133"/>
      <c r="H95" s="134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05">
        <f t="shared" si="1"/>
        <v>0</v>
      </c>
      <c r="U95" s="18"/>
      <c r="V95" s="19"/>
    </row>
    <row r="96" spans="1:22">
      <c r="A96" s="136"/>
      <c r="B96" s="137"/>
      <c r="C96" s="136"/>
      <c r="D96" s="137"/>
      <c r="E96" s="137"/>
      <c r="F96" s="137"/>
      <c r="G96" s="133"/>
      <c r="H96" s="134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05">
        <f t="shared" si="1"/>
        <v>0</v>
      </c>
      <c r="U96" s="18"/>
      <c r="V96" s="19"/>
    </row>
    <row r="97" spans="1:22">
      <c r="A97" s="136"/>
      <c r="B97" s="137"/>
      <c r="C97" s="136"/>
      <c r="D97" s="137"/>
      <c r="E97" s="137"/>
      <c r="F97" s="137"/>
      <c r="G97" s="133"/>
      <c r="H97" s="134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05">
        <f t="shared" si="1"/>
        <v>0</v>
      </c>
      <c r="U97" s="18"/>
      <c r="V97" s="19"/>
    </row>
    <row r="98" spans="1:22">
      <c r="A98" s="136"/>
      <c r="B98" s="137"/>
      <c r="C98" s="136"/>
      <c r="D98" s="137"/>
      <c r="E98" s="137"/>
      <c r="F98" s="137"/>
      <c r="G98" s="133"/>
      <c r="H98" s="134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05">
        <f t="shared" si="1"/>
        <v>0</v>
      </c>
      <c r="U98" s="18"/>
      <c r="V98" s="19"/>
    </row>
    <row r="99" spans="1:22">
      <c r="A99" s="136"/>
      <c r="B99" s="137"/>
      <c r="C99" s="136"/>
      <c r="D99" s="137"/>
      <c r="E99" s="137"/>
      <c r="F99" s="137"/>
      <c r="G99" s="133"/>
      <c r="H99" s="134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05">
        <f t="shared" si="1"/>
        <v>0</v>
      </c>
      <c r="U99" s="18"/>
      <c r="V99" s="19"/>
    </row>
    <row r="100" spans="1:22">
      <c r="A100" s="18"/>
      <c r="B100" s="19"/>
      <c r="C100" s="18"/>
      <c r="D100" s="19"/>
      <c r="E100" s="19"/>
      <c r="F100" s="19"/>
      <c r="G100" s="133"/>
      <c r="H100" s="134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05">
        <f t="shared" si="1"/>
        <v>0</v>
      </c>
      <c r="U100" s="18"/>
      <c r="V100" s="19"/>
    </row>
    <row r="101" spans="1:22">
      <c r="A101" s="18"/>
      <c r="B101" s="19"/>
      <c r="C101" s="18"/>
      <c r="D101" s="19"/>
      <c r="E101" s="19"/>
      <c r="F101" s="19"/>
      <c r="G101" s="133"/>
      <c r="H101" s="134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05">
        <f t="shared" si="1"/>
        <v>0</v>
      </c>
      <c r="U101" s="18"/>
      <c r="V101" s="19"/>
    </row>
    <row r="102" spans="1:22">
      <c r="A102" s="18"/>
      <c r="B102" s="19"/>
      <c r="C102" s="18"/>
      <c r="D102" s="19"/>
      <c r="E102" s="19"/>
      <c r="F102" s="19"/>
      <c r="G102" s="133"/>
      <c r="H102" s="134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05">
        <f t="shared" si="1"/>
        <v>0</v>
      </c>
      <c r="U102" s="18"/>
      <c r="V102" s="19"/>
    </row>
    <row r="103" spans="1:22">
      <c r="A103" s="18"/>
      <c r="B103" s="19"/>
      <c r="C103" s="18"/>
      <c r="D103" s="19"/>
      <c r="E103" s="19"/>
      <c r="F103" s="19"/>
      <c r="G103" s="133"/>
      <c r="H103" s="134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05">
        <f t="shared" si="1"/>
        <v>0</v>
      </c>
      <c r="U103" s="18"/>
      <c r="V103" s="19"/>
    </row>
    <row r="104" spans="1:22">
      <c r="A104" s="18"/>
      <c r="B104" s="19"/>
      <c r="C104" s="18"/>
      <c r="D104" s="19"/>
      <c r="E104" s="19"/>
      <c r="F104" s="19"/>
      <c r="G104" s="133"/>
      <c r="H104" s="134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05">
        <f t="shared" si="1"/>
        <v>0</v>
      </c>
      <c r="U104" s="18"/>
      <c r="V104" s="19"/>
    </row>
    <row r="105" spans="1:22">
      <c r="A105" s="18"/>
      <c r="B105" s="19"/>
      <c r="C105" s="18"/>
      <c r="D105" s="19"/>
      <c r="E105" s="19"/>
      <c r="F105" s="19"/>
      <c r="G105" s="133"/>
      <c r="H105" s="134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05">
        <f t="shared" si="1"/>
        <v>0</v>
      </c>
      <c r="U105" s="18"/>
      <c r="V105" s="19"/>
    </row>
    <row r="106" spans="1:22">
      <c r="A106" s="18"/>
      <c r="B106" s="19"/>
      <c r="C106" s="18"/>
      <c r="D106" s="19"/>
      <c r="E106" s="19"/>
      <c r="F106" s="19"/>
      <c r="G106" s="133"/>
      <c r="H106" s="134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05">
        <f t="shared" si="1"/>
        <v>0</v>
      </c>
      <c r="U106" s="18"/>
      <c r="V106" s="19"/>
    </row>
    <row r="107" spans="1:22">
      <c r="A107" s="18"/>
      <c r="B107" s="19"/>
      <c r="C107" s="18"/>
      <c r="D107" s="19"/>
      <c r="E107" s="19"/>
      <c r="F107" s="19"/>
      <c r="G107" s="133"/>
      <c r="H107" s="134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05">
        <f t="shared" si="1"/>
        <v>0</v>
      </c>
      <c r="U107" s="18"/>
      <c r="V107" s="19"/>
    </row>
    <row r="108" spans="1:22">
      <c r="A108" s="18"/>
      <c r="B108" s="19"/>
      <c r="C108" s="18"/>
      <c r="D108" s="19"/>
      <c r="E108" s="19"/>
      <c r="F108" s="19"/>
      <c r="G108" s="133"/>
      <c r="H108" s="134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05">
        <f t="shared" si="1"/>
        <v>0</v>
      </c>
      <c r="U108" s="18"/>
      <c r="V108" s="19"/>
    </row>
    <row r="109" spans="1:22">
      <c r="A109" s="18"/>
      <c r="B109" s="19"/>
      <c r="C109" s="18"/>
      <c r="D109" s="19"/>
      <c r="E109" s="19"/>
      <c r="F109" s="19"/>
      <c r="G109" s="133"/>
      <c r="H109" s="134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05">
        <f t="shared" si="1"/>
        <v>0</v>
      </c>
      <c r="U109" s="18"/>
      <c r="V109" s="19"/>
    </row>
    <row r="110" spans="1:22">
      <c r="A110" s="18"/>
      <c r="B110" s="19"/>
      <c r="C110" s="18"/>
      <c r="D110" s="19"/>
      <c r="E110" s="19"/>
      <c r="F110" s="19"/>
      <c r="G110" s="133"/>
      <c r="H110" s="134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05">
        <f t="shared" si="1"/>
        <v>0</v>
      </c>
      <c r="U110" s="18"/>
      <c r="V110" s="19"/>
    </row>
    <row r="111" spans="1:22">
      <c r="A111" s="18"/>
      <c r="B111" s="19"/>
      <c r="C111" s="18"/>
      <c r="D111" s="19"/>
      <c r="E111" s="19"/>
      <c r="F111" s="19"/>
      <c r="G111" s="133"/>
      <c r="H111" s="134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05">
        <f t="shared" si="1"/>
        <v>0</v>
      </c>
      <c r="U111" s="18"/>
      <c r="V111" s="19"/>
    </row>
    <row r="112" spans="1:22">
      <c r="A112" s="18"/>
      <c r="B112" s="19"/>
      <c r="C112" s="18"/>
      <c r="D112" s="19"/>
      <c r="E112" s="19"/>
      <c r="F112" s="19"/>
      <c r="G112" s="133"/>
      <c r="H112" s="134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05">
        <f t="shared" si="1"/>
        <v>0</v>
      </c>
      <c r="U112" s="18"/>
      <c r="V112" s="19"/>
    </row>
    <row r="113" spans="1:22">
      <c r="A113" s="18"/>
      <c r="B113" s="19"/>
      <c r="C113" s="18"/>
      <c r="D113" s="19"/>
      <c r="E113" s="19"/>
      <c r="F113" s="19"/>
      <c r="G113" s="133"/>
      <c r="H113" s="134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05">
        <f t="shared" si="1"/>
        <v>0</v>
      </c>
      <c r="U113" s="18"/>
      <c r="V113" s="19"/>
    </row>
    <row r="114" spans="1:22">
      <c r="A114" s="18"/>
      <c r="B114" s="19"/>
      <c r="C114" s="18"/>
      <c r="D114" s="19"/>
      <c r="E114" s="19"/>
      <c r="F114" s="19"/>
      <c r="G114" s="133"/>
      <c r="H114" s="134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05">
        <f t="shared" si="1"/>
        <v>0</v>
      </c>
      <c r="U114" s="18"/>
      <c r="V114" s="19"/>
    </row>
    <row r="115" spans="1:22">
      <c r="A115" s="18"/>
      <c r="B115" s="19"/>
      <c r="C115" s="18"/>
      <c r="D115" s="19"/>
      <c r="E115" s="19"/>
      <c r="F115" s="19"/>
      <c r="G115" s="133"/>
      <c r="H115" s="134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05">
        <f t="shared" si="1"/>
        <v>0</v>
      </c>
      <c r="U115" s="18"/>
      <c r="V115" s="19"/>
    </row>
    <row r="116" spans="1:22">
      <c r="A116" s="18"/>
      <c r="B116" s="19"/>
      <c r="C116" s="18"/>
      <c r="D116" s="19"/>
      <c r="E116" s="19"/>
      <c r="F116" s="19"/>
      <c r="G116" s="133"/>
      <c r="H116" s="134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05">
        <f t="shared" si="1"/>
        <v>0</v>
      </c>
      <c r="U116" s="18"/>
      <c r="V116" s="19"/>
    </row>
    <row r="117" spans="1:22">
      <c r="A117" s="18"/>
      <c r="B117" s="19"/>
      <c r="C117" s="18"/>
      <c r="D117" s="19"/>
      <c r="E117" s="19"/>
      <c r="F117" s="19"/>
      <c r="G117" s="133"/>
      <c r="H117" s="134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05">
        <f t="shared" si="1"/>
        <v>0</v>
      </c>
      <c r="U117" s="18"/>
      <c r="V117" s="19"/>
    </row>
    <row r="118" spans="1:22">
      <c r="A118" s="18"/>
      <c r="B118" s="19"/>
      <c r="C118" s="18"/>
      <c r="D118" s="19"/>
      <c r="E118" s="19"/>
      <c r="F118" s="19"/>
      <c r="G118" s="133"/>
      <c r="H118" s="134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05">
        <f t="shared" si="1"/>
        <v>0</v>
      </c>
      <c r="U118" s="18"/>
      <c r="V118" s="19"/>
    </row>
    <row r="119" spans="1:22">
      <c r="A119" s="18"/>
      <c r="B119" s="19"/>
      <c r="C119" s="18"/>
      <c r="D119" s="19"/>
      <c r="E119" s="19"/>
      <c r="F119" s="19"/>
      <c r="G119" s="133"/>
      <c r="H119" s="134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05">
        <f t="shared" si="1"/>
        <v>0</v>
      </c>
      <c r="U119" s="18"/>
      <c r="V119" s="19"/>
    </row>
    <row r="120" spans="1:22">
      <c r="A120" s="18"/>
      <c r="B120" s="19"/>
      <c r="C120" s="18"/>
      <c r="D120" s="19"/>
      <c r="E120" s="19"/>
      <c r="F120" s="19"/>
      <c r="G120" s="133"/>
      <c r="H120" s="134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05">
        <f t="shared" si="1"/>
        <v>0</v>
      </c>
      <c r="U120" s="18"/>
      <c r="V120" s="19"/>
    </row>
    <row r="121" spans="1:22">
      <c r="A121" s="18"/>
      <c r="B121" s="19"/>
      <c r="C121" s="18"/>
      <c r="D121" s="19"/>
      <c r="E121" s="19"/>
      <c r="F121" s="19"/>
      <c r="G121" s="133"/>
      <c r="H121" s="134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05">
        <f t="shared" si="1"/>
        <v>0</v>
      </c>
      <c r="U121" s="18"/>
      <c r="V121" s="19"/>
    </row>
    <row r="122" spans="1:22">
      <c r="A122" s="18"/>
      <c r="B122" s="19"/>
      <c r="C122" s="18"/>
      <c r="D122" s="19"/>
      <c r="E122" s="19"/>
      <c r="F122" s="19"/>
      <c r="G122" s="133"/>
      <c r="H122" s="134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05">
        <f t="shared" si="1"/>
        <v>0</v>
      </c>
      <c r="U122" s="18"/>
      <c r="V122" s="19"/>
    </row>
    <row r="123" spans="1:22">
      <c r="A123" s="18"/>
      <c r="B123" s="19"/>
      <c r="C123" s="18"/>
      <c r="D123" s="19"/>
      <c r="E123" s="19"/>
      <c r="F123" s="19"/>
      <c r="G123" s="133"/>
      <c r="H123" s="134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05">
        <f t="shared" si="1"/>
        <v>0</v>
      </c>
      <c r="U123" s="18"/>
      <c r="V123" s="19"/>
    </row>
    <row r="124" spans="1:22">
      <c r="A124" s="18"/>
      <c r="B124" s="19"/>
      <c r="C124" s="18"/>
      <c r="D124" s="19"/>
      <c r="E124" s="19"/>
      <c r="F124" s="19"/>
      <c r="G124" s="133"/>
      <c r="H124" s="134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05">
        <f t="shared" si="1"/>
        <v>0</v>
      </c>
      <c r="U124" s="18"/>
      <c r="V124" s="19"/>
    </row>
    <row r="125" spans="1:22">
      <c r="A125" s="18"/>
      <c r="B125" s="19"/>
      <c r="C125" s="18"/>
      <c r="D125" s="19"/>
      <c r="E125" s="19"/>
      <c r="F125" s="19"/>
      <c r="G125" s="133"/>
      <c r="H125" s="134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05">
        <f t="shared" si="1"/>
        <v>0</v>
      </c>
      <c r="U125" s="18"/>
      <c r="V125" s="19"/>
    </row>
    <row r="126" spans="1:22">
      <c r="A126" s="18"/>
      <c r="B126" s="19"/>
      <c r="C126" s="18"/>
      <c r="D126" s="19"/>
      <c r="E126" s="19"/>
      <c r="F126" s="19"/>
      <c r="G126" s="133"/>
      <c r="H126" s="134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05">
        <f t="shared" si="1"/>
        <v>0</v>
      </c>
      <c r="U126" s="18"/>
      <c r="V126" s="19"/>
    </row>
    <row r="127" spans="1:22">
      <c r="A127" s="18"/>
      <c r="B127" s="19"/>
      <c r="C127" s="18"/>
      <c r="D127" s="19"/>
      <c r="E127" s="19"/>
      <c r="F127" s="19"/>
      <c r="G127" s="133"/>
      <c r="H127" s="134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05">
        <f t="shared" si="1"/>
        <v>0</v>
      </c>
      <c r="U127" s="18"/>
      <c r="V127" s="19"/>
    </row>
    <row r="128" spans="1:22">
      <c r="A128" s="18"/>
      <c r="B128" s="19"/>
      <c r="C128" s="18"/>
      <c r="D128" s="19"/>
      <c r="E128" s="19"/>
      <c r="F128" s="19"/>
      <c r="G128" s="133"/>
      <c r="H128" s="134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05">
        <f t="shared" si="1"/>
        <v>0</v>
      </c>
      <c r="U128" s="18"/>
      <c r="V128" s="19"/>
    </row>
    <row r="129" spans="1:22">
      <c r="A129" s="18"/>
      <c r="B129" s="19"/>
      <c r="C129" s="18"/>
      <c r="D129" s="19"/>
      <c r="E129" s="19"/>
      <c r="F129" s="19"/>
      <c r="G129" s="133"/>
      <c r="H129" s="134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05">
        <f t="shared" si="1"/>
        <v>0</v>
      </c>
      <c r="U129" s="18"/>
      <c r="V129" s="19"/>
    </row>
    <row r="130" spans="1:22">
      <c r="A130" s="18"/>
      <c r="B130" s="19"/>
      <c r="C130" s="18"/>
      <c r="D130" s="19"/>
      <c r="E130" s="19"/>
      <c r="F130" s="19"/>
      <c r="G130" s="133"/>
      <c r="H130" s="134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05">
        <f t="shared" si="1"/>
        <v>0</v>
      </c>
      <c r="U130" s="18"/>
      <c r="V130" s="19"/>
    </row>
    <row r="131" spans="1:22">
      <c r="A131" s="18"/>
      <c r="B131" s="19"/>
      <c r="C131" s="18"/>
      <c r="D131" s="19"/>
      <c r="E131" s="19"/>
      <c r="F131" s="19"/>
      <c r="G131" s="133"/>
      <c r="H131" s="134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05">
        <f t="shared" si="1"/>
        <v>0</v>
      </c>
      <c r="U131" s="18"/>
      <c r="V131" s="19"/>
    </row>
    <row r="132" spans="1:22">
      <c r="A132" s="18"/>
      <c r="B132" s="19"/>
      <c r="C132" s="18"/>
      <c r="D132" s="19"/>
      <c r="E132" s="19"/>
      <c r="F132" s="19"/>
      <c r="G132" s="133"/>
      <c r="H132" s="134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05">
        <f t="shared" si="1"/>
        <v>0</v>
      </c>
      <c r="U132" s="18"/>
      <c r="V132" s="19"/>
    </row>
    <row r="133" spans="1:22">
      <c r="A133" s="18"/>
      <c r="B133" s="19"/>
      <c r="C133" s="18"/>
      <c r="D133" s="19"/>
      <c r="E133" s="19"/>
      <c r="F133" s="19"/>
      <c r="G133" s="133"/>
      <c r="H133" s="134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05">
        <f t="shared" si="1"/>
        <v>0</v>
      </c>
      <c r="U133" s="18"/>
      <c r="V133" s="19"/>
    </row>
    <row r="134" spans="1:22">
      <c r="A134" s="18"/>
      <c r="B134" s="19"/>
      <c r="C134" s="18"/>
      <c r="D134" s="19"/>
      <c r="E134" s="19"/>
      <c r="F134" s="19"/>
      <c r="G134" s="133"/>
      <c r="H134" s="134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05">
        <f t="shared" si="1"/>
        <v>0</v>
      </c>
      <c r="U134" s="18"/>
      <c r="V134" s="19"/>
    </row>
    <row r="135" spans="1:22">
      <c r="A135" s="18"/>
      <c r="B135" s="19"/>
      <c r="C135" s="18"/>
      <c r="D135" s="19"/>
      <c r="E135" s="19"/>
      <c r="F135" s="19"/>
      <c r="G135" s="133"/>
      <c r="H135" s="134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05">
        <f t="shared" si="1"/>
        <v>0</v>
      </c>
      <c r="U135" s="18"/>
      <c r="V135" s="19"/>
    </row>
    <row r="136" spans="1:22">
      <c r="A136" s="18"/>
      <c r="B136" s="19"/>
      <c r="C136" s="18"/>
      <c r="D136" s="19"/>
      <c r="E136" s="19"/>
      <c r="F136" s="19"/>
      <c r="G136" s="133"/>
      <c r="H136" s="134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05">
        <f t="shared" ref="T136:T199" si="2">SUM(G136:S136)</f>
        <v>0</v>
      </c>
      <c r="U136" s="18"/>
      <c r="V136" s="19"/>
    </row>
    <row r="137" spans="1:22">
      <c r="A137" s="18"/>
      <c r="B137" s="19"/>
      <c r="C137" s="18"/>
      <c r="D137" s="19"/>
      <c r="E137" s="19"/>
      <c r="F137" s="19"/>
      <c r="G137" s="133"/>
      <c r="H137" s="134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05">
        <f t="shared" si="2"/>
        <v>0</v>
      </c>
      <c r="U137" s="18"/>
      <c r="V137" s="19"/>
    </row>
    <row r="138" spans="1:22">
      <c r="A138" s="18"/>
      <c r="B138" s="19"/>
      <c r="C138" s="18"/>
      <c r="D138" s="19"/>
      <c r="E138" s="19"/>
      <c r="F138" s="19"/>
      <c r="G138" s="133"/>
      <c r="H138" s="134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05">
        <f t="shared" si="2"/>
        <v>0</v>
      </c>
      <c r="U138" s="18"/>
      <c r="V138" s="19"/>
    </row>
    <row r="139" spans="1:22">
      <c r="A139" s="18"/>
      <c r="B139" s="19"/>
      <c r="C139" s="18"/>
      <c r="D139" s="19"/>
      <c r="E139" s="19"/>
      <c r="F139" s="19"/>
      <c r="G139" s="133"/>
      <c r="H139" s="134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05">
        <f t="shared" si="2"/>
        <v>0</v>
      </c>
      <c r="U139" s="18"/>
      <c r="V139" s="19"/>
    </row>
    <row r="140" spans="1:22">
      <c r="A140" s="18"/>
      <c r="B140" s="19"/>
      <c r="C140" s="18"/>
      <c r="D140" s="19"/>
      <c r="E140" s="19"/>
      <c r="F140" s="19"/>
      <c r="G140" s="133"/>
      <c r="H140" s="134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05">
        <f t="shared" si="2"/>
        <v>0</v>
      </c>
      <c r="U140" s="18"/>
      <c r="V140" s="19"/>
    </row>
    <row r="141" spans="1:22">
      <c r="A141" s="18"/>
      <c r="B141" s="19"/>
      <c r="C141" s="18"/>
      <c r="D141" s="19"/>
      <c r="E141" s="19"/>
      <c r="F141" s="19"/>
      <c r="G141" s="133"/>
      <c r="H141" s="134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05">
        <f t="shared" si="2"/>
        <v>0</v>
      </c>
      <c r="U141" s="18"/>
      <c r="V141" s="19"/>
    </row>
    <row r="142" spans="1:22">
      <c r="A142" s="18"/>
      <c r="B142" s="19"/>
      <c r="C142" s="18"/>
      <c r="D142" s="19"/>
      <c r="E142" s="19"/>
      <c r="F142" s="19"/>
      <c r="G142" s="133"/>
      <c r="H142" s="134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05">
        <f t="shared" si="2"/>
        <v>0</v>
      </c>
      <c r="U142" s="18"/>
      <c r="V142" s="19"/>
    </row>
    <row r="143" spans="1:22">
      <c r="A143" s="18"/>
      <c r="B143" s="19"/>
      <c r="C143" s="18"/>
      <c r="D143" s="19"/>
      <c r="E143" s="19"/>
      <c r="F143" s="19"/>
      <c r="G143" s="133"/>
      <c r="H143" s="134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05">
        <f t="shared" si="2"/>
        <v>0</v>
      </c>
      <c r="U143" s="18"/>
      <c r="V143" s="19"/>
    </row>
    <row r="144" spans="1:22">
      <c r="A144" s="18"/>
      <c r="B144" s="19"/>
      <c r="C144" s="18"/>
      <c r="D144" s="19"/>
      <c r="E144" s="19"/>
      <c r="F144" s="19"/>
      <c r="G144" s="133"/>
      <c r="H144" s="134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05">
        <f t="shared" si="2"/>
        <v>0</v>
      </c>
      <c r="U144" s="18"/>
      <c r="V144" s="19"/>
    </row>
    <row r="145" spans="1:22">
      <c r="A145" s="18"/>
      <c r="B145" s="19"/>
      <c r="C145" s="18"/>
      <c r="D145" s="19"/>
      <c r="E145" s="19"/>
      <c r="F145" s="19"/>
      <c r="G145" s="133"/>
      <c r="H145" s="134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05">
        <f t="shared" si="2"/>
        <v>0</v>
      </c>
      <c r="U145" s="18"/>
      <c r="V145" s="19"/>
    </row>
    <row r="146" spans="1:22">
      <c r="A146" s="18"/>
      <c r="B146" s="19"/>
      <c r="C146" s="18"/>
      <c r="D146" s="19"/>
      <c r="E146" s="19"/>
      <c r="F146" s="19"/>
      <c r="G146" s="133"/>
      <c r="H146" s="134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05">
        <f t="shared" si="2"/>
        <v>0</v>
      </c>
      <c r="U146" s="18"/>
      <c r="V146" s="19"/>
    </row>
    <row r="147" spans="1:22">
      <c r="A147" s="18"/>
      <c r="B147" s="19"/>
      <c r="C147" s="18"/>
      <c r="D147" s="19"/>
      <c r="E147" s="19"/>
      <c r="F147" s="19"/>
      <c r="G147" s="133"/>
      <c r="H147" s="134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05">
        <f t="shared" si="2"/>
        <v>0</v>
      </c>
      <c r="U147" s="18"/>
      <c r="V147" s="19"/>
    </row>
    <row r="148" spans="1:22">
      <c r="A148" s="18"/>
      <c r="B148" s="19"/>
      <c r="C148" s="18"/>
      <c r="D148" s="19"/>
      <c r="E148" s="19"/>
      <c r="F148" s="19"/>
      <c r="G148" s="133"/>
      <c r="H148" s="134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05">
        <f t="shared" si="2"/>
        <v>0</v>
      </c>
      <c r="U148" s="18"/>
      <c r="V148" s="19"/>
    </row>
    <row r="149" spans="1:22">
      <c r="A149" s="18"/>
      <c r="B149" s="19"/>
      <c r="C149" s="18"/>
      <c r="D149" s="19"/>
      <c r="E149" s="19"/>
      <c r="F149" s="19"/>
      <c r="G149" s="133"/>
      <c r="H149" s="134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05">
        <f t="shared" si="2"/>
        <v>0</v>
      </c>
      <c r="U149" s="18"/>
      <c r="V149" s="19"/>
    </row>
    <row r="150" spans="1:22">
      <c r="A150" s="18"/>
      <c r="B150" s="19"/>
      <c r="C150" s="18"/>
      <c r="D150" s="19"/>
      <c r="E150" s="19"/>
      <c r="F150" s="19"/>
      <c r="G150" s="133"/>
      <c r="H150" s="134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05">
        <f t="shared" si="2"/>
        <v>0</v>
      </c>
      <c r="U150" s="18"/>
      <c r="V150" s="19"/>
    </row>
    <row r="151" spans="1:22">
      <c r="A151" s="18"/>
      <c r="B151" s="19"/>
      <c r="C151" s="18"/>
      <c r="D151" s="19"/>
      <c r="E151" s="19"/>
      <c r="F151" s="19"/>
      <c r="G151" s="133"/>
      <c r="H151" s="134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05">
        <f t="shared" si="2"/>
        <v>0</v>
      </c>
      <c r="U151" s="18"/>
      <c r="V151" s="19"/>
    </row>
    <row r="152" spans="1:22">
      <c r="A152" s="18"/>
      <c r="B152" s="19"/>
      <c r="C152" s="18"/>
      <c r="D152" s="19"/>
      <c r="E152" s="19"/>
      <c r="F152" s="19"/>
      <c r="G152" s="133"/>
      <c r="H152" s="134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05">
        <f t="shared" si="2"/>
        <v>0</v>
      </c>
      <c r="U152" s="18"/>
      <c r="V152" s="19"/>
    </row>
    <row r="153" spans="1:22">
      <c r="A153" s="18"/>
      <c r="B153" s="19"/>
      <c r="C153" s="18"/>
      <c r="D153" s="19"/>
      <c r="E153" s="19"/>
      <c r="F153" s="19"/>
      <c r="G153" s="133"/>
      <c r="H153" s="134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05">
        <f t="shared" si="2"/>
        <v>0</v>
      </c>
      <c r="U153" s="18"/>
      <c r="V153" s="19"/>
    </row>
    <row r="154" spans="1:22">
      <c r="A154" s="18"/>
      <c r="B154" s="19"/>
      <c r="C154" s="18"/>
      <c r="D154" s="19"/>
      <c r="E154" s="19"/>
      <c r="F154" s="19"/>
      <c r="G154" s="133"/>
      <c r="H154" s="134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05">
        <f t="shared" si="2"/>
        <v>0</v>
      </c>
      <c r="U154" s="18"/>
      <c r="V154" s="19"/>
    </row>
    <row r="155" spans="1:22">
      <c r="A155" s="18"/>
      <c r="B155" s="19"/>
      <c r="C155" s="18"/>
      <c r="D155" s="19"/>
      <c r="E155" s="19"/>
      <c r="F155" s="19"/>
      <c r="G155" s="133"/>
      <c r="H155" s="134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05">
        <f t="shared" si="2"/>
        <v>0</v>
      </c>
      <c r="U155" s="18"/>
      <c r="V155" s="19"/>
    </row>
    <row r="156" spans="1:22">
      <c r="A156" s="18"/>
      <c r="B156" s="19"/>
      <c r="C156" s="18"/>
      <c r="D156" s="19"/>
      <c r="E156" s="19"/>
      <c r="F156" s="19"/>
      <c r="G156" s="133"/>
      <c r="H156" s="134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05">
        <f t="shared" si="2"/>
        <v>0</v>
      </c>
      <c r="U156" s="18"/>
      <c r="V156" s="19"/>
    </row>
    <row r="157" spans="1:22">
      <c r="A157" s="18"/>
      <c r="B157" s="19"/>
      <c r="C157" s="18"/>
      <c r="D157" s="19"/>
      <c r="E157" s="19"/>
      <c r="F157" s="19"/>
      <c r="G157" s="133"/>
      <c r="H157" s="134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05">
        <f t="shared" si="2"/>
        <v>0</v>
      </c>
      <c r="U157" s="18"/>
      <c r="V157" s="19"/>
    </row>
    <row r="158" spans="1:22">
      <c r="A158" s="18"/>
      <c r="B158" s="19"/>
      <c r="C158" s="18"/>
      <c r="D158" s="19"/>
      <c r="E158" s="19"/>
      <c r="F158" s="19"/>
      <c r="G158" s="133"/>
      <c r="H158" s="134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05">
        <f t="shared" si="2"/>
        <v>0</v>
      </c>
      <c r="U158" s="18"/>
      <c r="V158" s="19"/>
    </row>
    <row r="159" spans="1:22">
      <c r="A159" s="18"/>
      <c r="B159" s="19"/>
      <c r="C159" s="18"/>
      <c r="D159" s="19"/>
      <c r="E159" s="19"/>
      <c r="F159" s="19"/>
      <c r="G159" s="133"/>
      <c r="H159" s="134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05">
        <f t="shared" si="2"/>
        <v>0</v>
      </c>
      <c r="U159" s="18"/>
      <c r="V159" s="19"/>
    </row>
    <row r="160" spans="1:22">
      <c r="A160" s="18"/>
      <c r="B160" s="19"/>
      <c r="C160" s="18"/>
      <c r="D160" s="19"/>
      <c r="E160" s="19"/>
      <c r="F160" s="19"/>
      <c r="G160" s="133"/>
      <c r="H160" s="134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05">
        <f t="shared" si="2"/>
        <v>0</v>
      </c>
      <c r="U160" s="18"/>
      <c r="V160" s="19"/>
    </row>
    <row r="161" spans="1:22">
      <c r="A161" s="18"/>
      <c r="B161" s="19"/>
      <c r="C161" s="18"/>
      <c r="D161" s="19"/>
      <c r="E161" s="19"/>
      <c r="F161" s="19"/>
      <c r="G161" s="133"/>
      <c r="H161" s="134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05">
        <f t="shared" si="2"/>
        <v>0</v>
      </c>
      <c r="U161" s="18"/>
      <c r="V161" s="19"/>
    </row>
    <row r="162" spans="1:22">
      <c r="A162" s="18"/>
      <c r="B162" s="19"/>
      <c r="C162" s="18"/>
      <c r="D162" s="19"/>
      <c r="E162" s="19"/>
      <c r="F162" s="19"/>
      <c r="G162" s="133"/>
      <c r="H162" s="134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05">
        <f t="shared" si="2"/>
        <v>0</v>
      </c>
      <c r="U162" s="18"/>
      <c r="V162" s="19"/>
    </row>
    <row r="163" spans="1:22">
      <c r="A163" s="18"/>
      <c r="B163" s="19"/>
      <c r="C163" s="18"/>
      <c r="D163" s="19"/>
      <c r="E163" s="19"/>
      <c r="F163" s="19"/>
      <c r="G163" s="133"/>
      <c r="H163" s="134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05">
        <f t="shared" si="2"/>
        <v>0</v>
      </c>
      <c r="U163" s="18"/>
      <c r="V163" s="19"/>
    </row>
    <row r="164" spans="1:22">
      <c r="A164" s="18"/>
      <c r="B164" s="19"/>
      <c r="C164" s="18"/>
      <c r="D164" s="19"/>
      <c r="E164" s="19"/>
      <c r="F164" s="19"/>
      <c r="G164" s="133"/>
      <c r="H164" s="134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05">
        <f t="shared" si="2"/>
        <v>0</v>
      </c>
      <c r="U164" s="18"/>
      <c r="V164" s="19"/>
    </row>
    <row r="165" spans="1:22">
      <c r="A165" s="18"/>
      <c r="B165" s="19"/>
      <c r="C165" s="18"/>
      <c r="D165" s="19"/>
      <c r="E165" s="19"/>
      <c r="F165" s="19"/>
      <c r="G165" s="133"/>
      <c r="H165" s="134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05">
        <f t="shared" si="2"/>
        <v>0</v>
      </c>
      <c r="U165" s="18"/>
      <c r="V165" s="19"/>
    </row>
    <row r="166" spans="1:22">
      <c r="A166" s="18"/>
      <c r="B166" s="19"/>
      <c r="C166" s="18"/>
      <c r="D166" s="19"/>
      <c r="E166" s="19"/>
      <c r="F166" s="19"/>
      <c r="G166" s="133"/>
      <c r="H166" s="134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05">
        <f t="shared" si="2"/>
        <v>0</v>
      </c>
      <c r="U166" s="18"/>
      <c r="V166" s="19"/>
    </row>
    <row r="167" spans="1:22">
      <c r="A167" s="18"/>
      <c r="B167" s="19"/>
      <c r="C167" s="18"/>
      <c r="D167" s="19"/>
      <c r="E167" s="19"/>
      <c r="F167" s="19"/>
      <c r="G167" s="133"/>
      <c r="H167" s="134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05">
        <f t="shared" si="2"/>
        <v>0</v>
      </c>
      <c r="U167" s="18"/>
      <c r="V167" s="19"/>
    </row>
    <row r="168" spans="1:22">
      <c r="A168" s="18"/>
      <c r="B168" s="19"/>
      <c r="C168" s="18"/>
      <c r="D168" s="19"/>
      <c r="E168" s="19"/>
      <c r="F168" s="19"/>
      <c r="G168" s="133"/>
      <c r="H168" s="134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05">
        <f t="shared" si="2"/>
        <v>0</v>
      </c>
      <c r="U168" s="18"/>
      <c r="V168" s="19"/>
    </row>
    <row r="169" spans="1:22">
      <c r="A169" s="18"/>
      <c r="B169" s="19"/>
      <c r="C169" s="18"/>
      <c r="D169" s="19"/>
      <c r="E169" s="19"/>
      <c r="F169" s="19"/>
      <c r="G169" s="133"/>
      <c r="H169" s="134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05">
        <f t="shared" si="2"/>
        <v>0</v>
      </c>
      <c r="U169" s="18"/>
      <c r="V169" s="19"/>
    </row>
    <row r="170" spans="1:22">
      <c r="A170" s="18"/>
      <c r="B170" s="19"/>
      <c r="C170" s="18"/>
      <c r="D170" s="19"/>
      <c r="E170" s="19"/>
      <c r="F170" s="19"/>
      <c r="G170" s="133"/>
      <c r="H170" s="134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05">
        <f t="shared" si="2"/>
        <v>0</v>
      </c>
      <c r="U170" s="18"/>
      <c r="V170" s="19"/>
    </row>
    <row r="171" spans="1:22">
      <c r="A171" s="18"/>
      <c r="B171" s="19"/>
      <c r="C171" s="18"/>
      <c r="D171" s="19"/>
      <c r="E171" s="19"/>
      <c r="F171" s="19"/>
      <c r="G171" s="133"/>
      <c r="H171" s="134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05">
        <f t="shared" si="2"/>
        <v>0</v>
      </c>
      <c r="U171" s="18"/>
      <c r="V171" s="19"/>
    </row>
    <row r="172" spans="1:22">
      <c r="A172" s="18"/>
      <c r="B172" s="19"/>
      <c r="C172" s="18"/>
      <c r="D172" s="19"/>
      <c r="E172" s="19"/>
      <c r="F172" s="19"/>
      <c r="G172" s="133"/>
      <c r="H172" s="134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05">
        <f t="shared" si="2"/>
        <v>0</v>
      </c>
      <c r="U172" s="18"/>
      <c r="V172" s="19"/>
    </row>
    <row r="173" spans="1:22">
      <c r="A173" s="18"/>
      <c r="B173" s="19"/>
      <c r="C173" s="18"/>
      <c r="D173" s="19"/>
      <c r="E173" s="19"/>
      <c r="F173" s="19"/>
      <c r="G173" s="133"/>
      <c r="H173" s="134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05">
        <f t="shared" si="2"/>
        <v>0</v>
      </c>
      <c r="U173" s="18"/>
      <c r="V173" s="19"/>
    </row>
    <row r="174" spans="1:22">
      <c r="A174" s="18"/>
      <c r="B174" s="19"/>
      <c r="C174" s="18"/>
      <c r="D174" s="19"/>
      <c r="E174" s="19"/>
      <c r="F174" s="19"/>
      <c r="G174" s="133"/>
      <c r="H174" s="134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05">
        <f t="shared" si="2"/>
        <v>0</v>
      </c>
      <c r="U174" s="18"/>
      <c r="V174" s="19"/>
    </row>
    <row r="175" spans="1:22">
      <c r="A175" s="18"/>
      <c r="B175" s="19"/>
      <c r="C175" s="18"/>
      <c r="D175" s="19"/>
      <c r="E175" s="19"/>
      <c r="F175" s="19"/>
      <c r="G175" s="133"/>
      <c r="H175" s="134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05">
        <f t="shared" si="2"/>
        <v>0</v>
      </c>
      <c r="U175" s="18"/>
      <c r="V175" s="19"/>
    </row>
    <row r="176" spans="1:22">
      <c r="A176" s="18"/>
      <c r="B176" s="19"/>
      <c r="C176" s="18"/>
      <c r="D176" s="19"/>
      <c r="E176" s="19"/>
      <c r="F176" s="19"/>
      <c r="G176" s="133"/>
      <c r="H176" s="134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05">
        <f t="shared" si="2"/>
        <v>0</v>
      </c>
      <c r="U176" s="18"/>
      <c r="V176" s="19"/>
    </row>
    <row r="177" spans="1:22">
      <c r="A177" s="18"/>
      <c r="B177" s="19"/>
      <c r="C177" s="18"/>
      <c r="D177" s="19"/>
      <c r="E177" s="19"/>
      <c r="F177" s="19"/>
      <c r="G177" s="133"/>
      <c r="H177" s="134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05">
        <f t="shared" si="2"/>
        <v>0</v>
      </c>
      <c r="U177" s="18"/>
      <c r="V177" s="19"/>
    </row>
    <row r="178" spans="1:22">
      <c r="A178" s="18"/>
      <c r="B178" s="19"/>
      <c r="C178" s="18"/>
      <c r="D178" s="19"/>
      <c r="E178" s="19"/>
      <c r="F178" s="19"/>
      <c r="G178" s="133"/>
      <c r="H178" s="134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05">
        <f t="shared" si="2"/>
        <v>0</v>
      </c>
      <c r="U178" s="18"/>
      <c r="V178" s="19"/>
    </row>
    <row r="179" spans="1:22">
      <c r="A179" s="18"/>
      <c r="B179" s="19"/>
      <c r="C179" s="18"/>
      <c r="D179" s="19"/>
      <c r="E179" s="19"/>
      <c r="F179" s="19"/>
      <c r="G179" s="133"/>
      <c r="H179" s="134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05">
        <f t="shared" si="2"/>
        <v>0</v>
      </c>
      <c r="U179" s="18"/>
      <c r="V179" s="19"/>
    </row>
    <row r="180" spans="1:22">
      <c r="A180" s="18"/>
      <c r="B180" s="19"/>
      <c r="C180" s="18"/>
      <c r="D180" s="19"/>
      <c r="E180" s="19"/>
      <c r="F180" s="19"/>
      <c r="G180" s="133"/>
      <c r="H180" s="134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05">
        <f t="shared" si="2"/>
        <v>0</v>
      </c>
      <c r="U180" s="18"/>
      <c r="V180" s="19"/>
    </row>
    <row r="181" spans="1:22">
      <c r="A181" s="18"/>
      <c r="B181" s="19"/>
      <c r="C181" s="18"/>
      <c r="D181" s="19"/>
      <c r="E181" s="19"/>
      <c r="F181" s="19"/>
      <c r="G181" s="133"/>
      <c r="H181" s="134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05">
        <f t="shared" si="2"/>
        <v>0</v>
      </c>
      <c r="U181" s="18"/>
      <c r="V181" s="19"/>
    </row>
    <row r="182" spans="1:22">
      <c r="A182" s="18"/>
      <c r="B182" s="19"/>
      <c r="C182" s="18"/>
      <c r="D182" s="19"/>
      <c r="E182" s="19"/>
      <c r="F182" s="19"/>
      <c r="G182" s="133"/>
      <c r="H182" s="134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05">
        <f t="shared" si="2"/>
        <v>0</v>
      </c>
      <c r="U182" s="18"/>
      <c r="V182" s="19"/>
    </row>
    <row r="183" spans="1:22">
      <c r="A183" s="18"/>
      <c r="B183" s="19"/>
      <c r="C183" s="18"/>
      <c r="D183" s="19"/>
      <c r="E183" s="19"/>
      <c r="F183" s="19"/>
      <c r="G183" s="133"/>
      <c r="H183" s="134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05">
        <f t="shared" si="2"/>
        <v>0</v>
      </c>
      <c r="U183" s="18"/>
      <c r="V183" s="19"/>
    </row>
    <row r="184" spans="1:22">
      <c r="A184" s="18"/>
      <c r="B184" s="19"/>
      <c r="C184" s="18"/>
      <c r="D184" s="19"/>
      <c r="E184" s="19"/>
      <c r="F184" s="19"/>
      <c r="G184" s="133"/>
      <c r="H184" s="134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05">
        <f t="shared" si="2"/>
        <v>0</v>
      </c>
      <c r="U184" s="18"/>
      <c r="V184" s="19"/>
    </row>
    <row r="185" spans="1:22">
      <c r="A185" s="18"/>
      <c r="B185" s="19"/>
      <c r="C185" s="18"/>
      <c r="D185" s="19"/>
      <c r="E185" s="19"/>
      <c r="F185" s="19"/>
      <c r="G185" s="133"/>
      <c r="H185" s="134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05">
        <f t="shared" si="2"/>
        <v>0</v>
      </c>
      <c r="U185" s="18"/>
      <c r="V185" s="19"/>
    </row>
    <row r="186" spans="1:22">
      <c r="A186" s="18"/>
      <c r="B186" s="19"/>
      <c r="C186" s="18"/>
      <c r="D186" s="19"/>
      <c r="E186" s="19"/>
      <c r="F186" s="19"/>
      <c r="G186" s="133"/>
      <c r="H186" s="134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05">
        <f t="shared" si="2"/>
        <v>0</v>
      </c>
      <c r="U186" s="18"/>
      <c r="V186" s="19"/>
    </row>
    <row r="187" spans="1:22">
      <c r="A187" s="18"/>
      <c r="B187" s="19"/>
      <c r="C187" s="18"/>
      <c r="D187" s="19"/>
      <c r="E187" s="19"/>
      <c r="F187" s="19"/>
      <c r="G187" s="133"/>
      <c r="H187" s="134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05">
        <f t="shared" si="2"/>
        <v>0</v>
      </c>
      <c r="U187" s="18"/>
      <c r="V187" s="19"/>
    </row>
    <row r="188" spans="1:22">
      <c r="A188" s="18"/>
      <c r="B188" s="19"/>
      <c r="C188" s="18"/>
      <c r="D188" s="19"/>
      <c r="E188" s="19"/>
      <c r="F188" s="19"/>
      <c r="G188" s="133"/>
      <c r="H188" s="134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05">
        <f t="shared" si="2"/>
        <v>0</v>
      </c>
      <c r="U188" s="18"/>
      <c r="V188" s="19"/>
    </row>
    <row r="189" spans="1:22">
      <c r="A189" s="18"/>
      <c r="B189" s="19"/>
      <c r="C189" s="18"/>
      <c r="D189" s="19"/>
      <c r="E189" s="19"/>
      <c r="F189" s="19"/>
      <c r="G189" s="133"/>
      <c r="H189" s="134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05">
        <f t="shared" si="2"/>
        <v>0</v>
      </c>
      <c r="U189" s="18"/>
      <c r="V189" s="19"/>
    </row>
    <row r="190" spans="1:22">
      <c r="A190" s="18"/>
      <c r="B190" s="19"/>
      <c r="C190" s="18"/>
      <c r="D190" s="19"/>
      <c r="E190" s="19"/>
      <c r="F190" s="19"/>
      <c r="G190" s="133"/>
      <c r="H190" s="134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05">
        <f t="shared" si="2"/>
        <v>0</v>
      </c>
      <c r="U190" s="18"/>
      <c r="V190" s="19"/>
    </row>
    <row r="191" spans="1:22">
      <c r="A191" s="18"/>
      <c r="B191" s="19"/>
      <c r="C191" s="18"/>
      <c r="D191" s="19"/>
      <c r="E191" s="19"/>
      <c r="F191" s="19"/>
      <c r="G191" s="133"/>
      <c r="H191" s="134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05">
        <f t="shared" si="2"/>
        <v>0</v>
      </c>
      <c r="U191" s="18"/>
      <c r="V191" s="19"/>
    </row>
    <row r="192" spans="1:22">
      <c r="A192" s="18"/>
      <c r="B192" s="19"/>
      <c r="C192" s="18"/>
      <c r="D192" s="19"/>
      <c r="E192" s="19"/>
      <c r="F192" s="19"/>
      <c r="G192" s="133"/>
      <c r="H192" s="134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05">
        <f t="shared" si="2"/>
        <v>0</v>
      </c>
      <c r="U192" s="18"/>
      <c r="V192" s="19"/>
    </row>
    <row r="193" spans="1:22">
      <c r="A193" s="18"/>
      <c r="B193" s="19"/>
      <c r="C193" s="18"/>
      <c r="D193" s="19"/>
      <c r="E193" s="19"/>
      <c r="F193" s="19"/>
      <c r="G193" s="133"/>
      <c r="H193" s="134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05">
        <f t="shared" si="2"/>
        <v>0</v>
      </c>
      <c r="U193" s="18"/>
      <c r="V193" s="19"/>
    </row>
    <row r="194" spans="1:22">
      <c r="A194" s="18"/>
      <c r="B194" s="19"/>
      <c r="C194" s="18"/>
      <c r="D194" s="19"/>
      <c r="E194" s="19"/>
      <c r="F194" s="19"/>
      <c r="G194" s="133"/>
      <c r="H194" s="134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05">
        <f t="shared" si="2"/>
        <v>0</v>
      </c>
      <c r="U194" s="18"/>
      <c r="V194" s="19"/>
    </row>
    <row r="195" spans="1:22">
      <c r="A195" s="18"/>
      <c r="B195" s="19"/>
      <c r="C195" s="18"/>
      <c r="D195" s="19"/>
      <c r="E195" s="19"/>
      <c r="F195" s="19"/>
      <c r="G195" s="133"/>
      <c r="H195" s="134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05">
        <f t="shared" si="2"/>
        <v>0</v>
      </c>
      <c r="U195" s="18"/>
      <c r="V195" s="19"/>
    </row>
    <row r="196" spans="1:22">
      <c r="A196" s="18"/>
      <c r="B196" s="19"/>
      <c r="C196" s="18"/>
      <c r="D196" s="19"/>
      <c r="E196" s="19"/>
      <c r="F196" s="19"/>
      <c r="G196" s="133"/>
      <c r="H196" s="134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05">
        <f t="shared" si="2"/>
        <v>0</v>
      </c>
      <c r="U196" s="18"/>
      <c r="V196" s="19"/>
    </row>
    <row r="197" spans="1:22">
      <c r="A197" s="18"/>
      <c r="B197" s="19"/>
      <c r="C197" s="18"/>
      <c r="D197" s="19"/>
      <c r="E197" s="19"/>
      <c r="F197" s="19"/>
      <c r="G197" s="133"/>
      <c r="H197" s="134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05">
        <f t="shared" si="2"/>
        <v>0</v>
      </c>
      <c r="U197" s="18"/>
      <c r="V197" s="19"/>
    </row>
    <row r="198" spans="1:22">
      <c r="A198" s="18"/>
      <c r="B198" s="19"/>
      <c r="C198" s="18"/>
      <c r="D198" s="19"/>
      <c r="E198" s="19"/>
      <c r="F198" s="19"/>
      <c r="G198" s="133"/>
      <c r="H198" s="134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05">
        <f t="shared" si="2"/>
        <v>0</v>
      </c>
      <c r="U198" s="18"/>
      <c r="V198" s="19"/>
    </row>
    <row r="199" spans="1:22">
      <c r="A199" s="18"/>
      <c r="B199" s="19"/>
      <c r="C199" s="18"/>
      <c r="D199" s="19"/>
      <c r="E199" s="19"/>
      <c r="F199" s="19"/>
      <c r="G199" s="133"/>
      <c r="H199" s="134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05">
        <f t="shared" si="2"/>
        <v>0</v>
      </c>
      <c r="U199" s="18"/>
      <c r="V199" s="19"/>
    </row>
    <row r="200" spans="1:22">
      <c r="A200" s="18"/>
      <c r="B200" s="19"/>
      <c r="C200" s="18"/>
      <c r="D200" s="19"/>
      <c r="E200" s="19"/>
      <c r="F200" s="19"/>
      <c r="G200" s="133"/>
      <c r="H200" s="134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05">
        <f t="shared" ref="T200:T225" si="3">SUM(G200:S200)</f>
        <v>0</v>
      </c>
      <c r="U200" s="18"/>
      <c r="V200" s="19"/>
    </row>
    <row r="201" spans="1:22">
      <c r="A201" s="18"/>
      <c r="B201" s="19"/>
      <c r="C201" s="18"/>
      <c r="D201" s="19"/>
      <c r="E201" s="19"/>
      <c r="F201" s="19"/>
      <c r="G201" s="133"/>
      <c r="H201" s="134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05">
        <f t="shared" si="3"/>
        <v>0</v>
      </c>
      <c r="U201" s="18"/>
      <c r="V201" s="19"/>
    </row>
    <row r="202" spans="1:22">
      <c r="A202" s="18"/>
      <c r="B202" s="19"/>
      <c r="C202" s="18"/>
      <c r="D202" s="19"/>
      <c r="E202" s="19"/>
      <c r="F202" s="19"/>
      <c r="G202" s="133"/>
      <c r="H202" s="134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05">
        <f t="shared" si="3"/>
        <v>0</v>
      </c>
      <c r="U202" s="18"/>
      <c r="V202" s="19"/>
    </row>
    <row r="203" spans="1:22">
      <c r="A203" s="18"/>
      <c r="B203" s="19"/>
      <c r="C203" s="18"/>
      <c r="D203" s="19"/>
      <c r="E203" s="19"/>
      <c r="F203" s="19"/>
      <c r="G203" s="133"/>
      <c r="H203" s="134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05">
        <f t="shared" si="3"/>
        <v>0</v>
      </c>
      <c r="U203" s="18"/>
      <c r="V203" s="19"/>
    </row>
    <row r="204" spans="1:22">
      <c r="A204" s="18"/>
      <c r="B204" s="19"/>
      <c r="C204" s="18"/>
      <c r="D204" s="19"/>
      <c r="E204" s="19"/>
      <c r="F204" s="19"/>
      <c r="G204" s="133"/>
      <c r="H204" s="134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05">
        <f t="shared" si="3"/>
        <v>0</v>
      </c>
      <c r="U204" s="18"/>
      <c r="V204" s="19"/>
    </row>
    <row r="205" spans="1:22">
      <c r="A205" s="18"/>
      <c r="B205" s="19"/>
      <c r="C205" s="18"/>
      <c r="D205" s="19"/>
      <c r="E205" s="19"/>
      <c r="F205" s="19"/>
      <c r="G205" s="133"/>
      <c r="H205" s="134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05">
        <f t="shared" si="3"/>
        <v>0</v>
      </c>
      <c r="U205" s="18"/>
      <c r="V205" s="19"/>
    </row>
    <row r="206" spans="1:22">
      <c r="A206" s="18"/>
      <c r="B206" s="19"/>
      <c r="C206" s="18"/>
      <c r="D206" s="19"/>
      <c r="E206" s="19"/>
      <c r="F206" s="19"/>
      <c r="G206" s="133"/>
      <c r="H206" s="134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105">
        <f t="shared" si="3"/>
        <v>0</v>
      </c>
      <c r="U206" s="18"/>
      <c r="V206" s="19"/>
    </row>
    <row r="207" spans="1:22">
      <c r="A207" s="18"/>
      <c r="B207" s="19"/>
      <c r="C207" s="18"/>
      <c r="D207" s="19"/>
      <c r="E207" s="19"/>
      <c r="F207" s="19"/>
      <c r="G207" s="133"/>
      <c r="H207" s="134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105">
        <f t="shared" si="3"/>
        <v>0</v>
      </c>
      <c r="U207" s="18"/>
      <c r="V207" s="19"/>
    </row>
    <row r="208" spans="1:22">
      <c r="A208" s="18"/>
      <c r="B208" s="19"/>
      <c r="C208" s="18"/>
      <c r="D208" s="19"/>
      <c r="E208" s="19"/>
      <c r="F208" s="19"/>
      <c r="G208" s="133"/>
      <c r="H208" s="134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105">
        <f t="shared" si="3"/>
        <v>0</v>
      </c>
      <c r="U208" s="18"/>
      <c r="V208" s="19"/>
    </row>
    <row r="209" spans="1:22">
      <c r="A209" s="18"/>
      <c r="B209" s="19"/>
      <c r="C209" s="18"/>
      <c r="D209" s="19"/>
      <c r="E209" s="19"/>
      <c r="F209" s="19"/>
      <c r="G209" s="133"/>
      <c r="H209" s="134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05">
        <f t="shared" si="3"/>
        <v>0</v>
      </c>
      <c r="U209" s="18"/>
      <c r="V209" s="19"/>
    </row>
    <row r="210" spans="1:22">
      <c r="A210" s="18"/>
      <c r="B210" s="19"/>
      <c r="C210" s="18"/>
      <c r="D210" s="19"/>
      <c r="E210" s="19"/>
      <c r="F210" s="19"/>
      <c r="G210" s="133"/>
      <c r="H210" s="134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105">
        <f t="shared" si="3"/>
        <v>0</v>
      </c>
      <c r="U210" s="18"/>
      <c r="V210" s="19"/>
    </row>
    <row r="211" spans="1:22">
      <c r="A211" s="18"/>
      <c r="B211" s="19"/>
      <c r="C211" s="18"/>
      <c r="D211" s="19"/>
      <c r="E211" s="19"/>
      <c r="F211" s="19"/>
      <c r="G211" s="133"/>
      <c r="H211" s="134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05">
        <f t="shared" si="3"/>
        <v>0</v>
      </c>
      <c r="U211" s="18"/>
      <c r="V211" s="19"/>
    </row>
    <row r="212" spans="1:22">
      <c r="A212" s="18"/>
      <c r="B212" s="19"/>
      <c r="C212" s="18"/>
      <c r="D212" s="19"/>
      <c r="E212" s="19"/>
      <c r="F212" s="19"/>
      <c r="G212" s="133"/>
      <c r="H212" s="134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105">
        <f t="shared" si="3"/>
        <v>0</v>
      </c>
      <c r="U212" s="18"/>
      <c r="V212" s="19"/>
    </row>
    <row r="213" spans="1:22">
      <c r="A213" s="18"/>
      <c r="B213" s="19"/>
      <c r="C213" s="18"/>
      <c r="D213" s="19"/>
      <c r="E213" s="19"/>
      <c r="F213" s="19"/>
      <c r="G213" s="133"/>
      <c r="H213" s="134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105">
        <f t="shared" si="3"/>
        <v>0</v>
      </c>
      <c r="U213" s="18"/>
      <c r="V213" s="19"/>
    </row>
    <row r="214" spans="1:22">
      <c r="A214" s="18"/>
      <c r="B214" s="19"/>
      <c r="C214" s="18"/>
      <c r="D214" s="19"/>
      <c r="E214" s="19"/>
      <c r="F214" s="19"/>
      <c r="G214" s="133"/>
      <c r="H214" s="134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105">
        <f t="shared" si="3"/>
        <v>0</v>
      </c>
      <c r="U214" s="18"/>
      <c r="V214" s="19"/>
    </row>
    <row r="215" spans="1:22">
      <c r="A215" s="18"/>
      <c r="B215" s="19"/>
      <c r="C215" s="18"/>
      <c r="D215" s="19"/>
      <c r="E215" s="19"/>
      <c r="F215" s="19"/>
      <c r="G215" s="133"/>
      <c r="H215" s="134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105">
        <f t="shared" si="3"/>
        <v>0</v>
      </c>
      <c r="U215" s="18"/>
      <c r="V215" s="19"/>
    </row>
    <row r="216" spans="1:22">
      <c r="A216" s="18"/>
      <c r="B216" s="19"/>
      <c r="C216" s="18"/>
      <c r="D216" s="19"/>
      <c r="E216" s="19"/>
      <c r="F216" s="19"/>
      <c r="G216" s="133"/>
      <c r="H216" s="134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105">
        <f t="shared" si="3"/>
        <v>0</v>
      </c>
      <c r="U216" s="18"/>
      <c r="V216" s="19"/>
    </row>
    <row r="217" spans="1:22">
      <c r="A217" s="18"/>
      <c r="B217" s="19"/>
      <c r="C217" s="18"/>
      <c r="D217" s="19"/>
      <c r="E217" s="19"/>
      <c r="F217" s="19"/>
      <c r="G217" s="133"/>
      <c r="H217" s="134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105">
        <f t="shared" si="3"/>
        <v>0</v>
      </c>
      <c r="U217" s="18"/>
      <c r="V217" s="19"/>
    </row>
    <row r="218" spans="1:22">
      <c r="A218" s="18"/>
      <c r="B218" s="19"/>
      <c r="C218" s="18"/>
      <c r="D218" s="19"/>
      <c r="E218" s="19"/>
      <c r="F218" s="19"/>
      <c r="G218" s="133"/>
      <c r="H218" s="134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105">
        <f t="shared" si="3"/>
        <v>0</v>
      </c>
      <c r="U218" s="18"/>
      <c r="V218" s="19"/>
    </row>
    <row r="219" spans="1:22">
      <c r="A219" s="18"/>
      <c r="B219" s="19"/>
      <c r="C219" s="18"/>
      <c r="D219" s="19"/>
      <c r="E219" s="19"/>
      <c r="F219" s="19"/>
      <c r="G219" s="133"/>
      <c r="H219" s="134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105">
        <f t="shared" si="3"/>
        <v>0</v>
      </c>
      <c r="U219" s="18"/>
      <c r="V219" s="19"/>
    </row>
    <row r="220" spans="1:22">
      <c r="A220" s="18"/>
      <c r="B220" s="19"/>
      <c r="C220" s="18"/>
      <c r="D220" s="19"/>
      <c r="E220" s="19"/>
      <c r="F220" s="19"/>
      <c r="G220" s="133"/>
      <c r="H220" s="134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105">
        <f t="shared" si="3"/>
        <v>0</v>
      </c>
      <c r="U220" s="18"/>
      <c r="V220" s="19"/>
    </row>
    <row r="221" spans="1:22">
      <c r="A221" s="18"/>
      <c r="B221" s="19"/>
      <c r="C221" s="18"/>
      <c r="D221" s="19"/>
      <c r="E221" s="19"/>
      <c r="F221" s="19"/>
      <c r="G221" s="133"/>
      <c r="H221" s="134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105">
        <f t="shared" si="3"/>
        <v>0</v>
      </c>
      <c r="U221" s="18"/>
      <c r="V221" s="19"/>
    </row>
    <row r="222" spans="1:22">
      <c r="A222" s="18"/>
      <c r="B222" s="19"/>
      <c r="C222" s="18"/>
      <c r="D222" s="19"/>
      <c r="E222" s="19"/>
      <c r="F222" s="19"/>
      <c r="G222" s="133"/>
      <c r="H222" s="134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105">
        <f t="shared" si="3"/>
        <v>0</v>
      </c>
      <c r="U222" s="18"/>
      <c r="V222" s="19"/>
    </row>
    <row r="223" spans="1:22">
      <c r="A223" s="18"/>
      <c r="B223" s="19"/>
      <c r="C223" s="18"/>
      <c r="D223" s="19"/>
      <c r="E223" s="19"/>
      <c r="F223" s="19"/>
      <c r="G223" s="133"/>
      <c r="H223" s="134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105">
        <f t="shared" si="3"/>
        <v>0</v>
      </c>
      <c r="U223" s="18"/>
      <c r="V223" s="19"/>
    </row>
    <row r="224" spans="1:22">
      <c r="A224" s="18"/>
      <c r="B224" s="19"/>
      <c r="C224" s="18"/>
      <c r="D224" s="19"/>
      <c r="E224" s="19"/>
      <c r="F224" s="19"/>
      <c r="G224" s="133"/>
      <c r="H224" s="134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105">
        <f t="shared" si="3"/>
        <v>0</v>
      </c>
      <c r="U224" s="18"/>
      <c r="V224" s="19"/>
    </row>
    <row r="225" spans="1:22">
      <c r="A225" s="18"/>
      <c r="B225" s="19"/>
      <c r="C225" s="18"/>
      <c r="D225" s="19"/>
      <c r="E225" s="19"/>
      <c r="F225" s="19"/>
      <c r="G225" s="134"/>
      <c r="H225" s="134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105">
        <f t="shared" si="3"/>
        <v>0</v>
      </c>
      <c r="U225" s="18"/>
      <c r="V225" s="19"/>
    </row>
    <row r="226" spans="1:22" ht="10.8" thickBot="1">
      <c r="A226" s="23" t="s">
        <v>9</v>
      </c>
      <c r="B226" s="23"/>
      <c r="C226" s="22"/>
      <c r="D226" s="23"/>
      <c r="E226" s="23"/>
      <c r="F226" s="23"/>
      <c r="G226" s="135">
        <f>SUM(G10:G225)</f>
        <v>0</v>
      </c>
      <c r="H226" s="135">
        <f>SUM(H10:H225)</f>
        <v>0</v>
      </c>
      <c r="I226" s="25">
        <f>SUM(I10:I225)</f>
        <v>0</v>
      </c>
      <c r="J226" s="25">
        <f t="shared" ref="J226:N226" si="4">SUM(J10:J225)</f>
        <v>0</v>
      </c>
      <c r="K226" s="25">
        <f t="shared" si="4"/>
        <v>0</v>
      </c>
      <c r="L226" s="25">
        <f t="shared" si="4"/>
        <v>0</v>
      </c>
      <c r="M226" s="25">
        <f t="shared" si="4"/>
        <v>0</v>
      </c>
      <c r="N226" s="25">
        <f t="shared" si="4"/>
        <v>0</v>
      </c>
      <c r="O226" s="25">
        <f t="shared" ref="O226" si="5">SUM(O10:O225)</f>
        <v>0</v>
      </c>
      <c r="P226" s="25">
        <f t="shared" ref="P226" si="6">SUM(P10:P225)</f>
        <v>0</v>
      </c>
      <c r="Q226" s="25">
        <f t="shared" ref="Q226" si="7">SUM(Q10:Q225)</f>
        <v>0</v>
      </c>
      <c r="R226" s="25">
        <f t="shared" ref="R226" si="8">SUM(R10:R225)</f>
        <v>0</v>
      </c>
      <c r="S226" s="25">
        <f t="shared" ref="S226" si="9">SUM(S10:S225)</f>
        <v>0</v>
      </c>
      <c r="U226" s="25"/>
      <c r="V226" s="25"/>
    </row>
    <row r="227" spans="1:22" ht="10.8" thickTop="1"/>
    <row r="228" spans="1:22">
      <c r="S228" s="105">
        <f>SUM(G226:S226)</f>
        <v>0</v>
      </c>
    </row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210"/>
  <sheetViews>
    <sheetView workbookViewId="0">
      <pane ySplit="6" topLeftCell="A50" activePane="bottomLeft" state="frozen"/>
      <selection pane="bottomLeft" activeCell="A73" sqref="A73"/>
    </sheetView>
  </sheetViews>
  <sheetFormatPr defaultRowHeight="10.199999999999999"/>
  <cols>
    <col min="1" max="1" width="10.5546875" style="2" customWidth="1"/>
    <col min="2" max="2" width="8.88671875" style="2" customWidth="1"/>
    <col min="3" max="3" width="10.44140625" style="2" customWidth="1"/>
    <col min="4" max="6" width="9.33203125" style="2" customWidth="1"/>
    <col min="7" max="7" width="33.21875" style="2" bestFit="1" customWidth="1"/>
    <col min="8" max="8" width="15.109375" style="2" bestFit="1" customWidth="1"/>
    <col min="9" max="9" width="36.6640625" style="2" bestFit="1" customWidth="1"/>
    <col min="10" max="10" width="0.5546875" style="2" customWidth="1"/>
    <col min="11" max="15" width="13" style="2" customWidth="1"/>
    <col min="16" max="16" width="6.44140625" style="2" bestFit="1" customWidth="1"/>
    <col min="17" max="17" width="6.44140625" style="33" customWidth="1"/>
    <col min="18" max="18" width="0.5546875" style="2" customWidth="1"/>
    <col min="19" max="45" width="16.5546875" style="2" customWidth="1"/>
    <col min="46" max="46" width="0.44140625" style="2" customWidth="1"/>
    <col min="47" max="47" width="16.5546875" style="2" customWidth="1"/>
    <col min="48" max="48" width="8.88671875" style="2"/>
    <col min="49" max="49" width="10.44140625" style="2" bestFit="1" customWidth="1"/>
    <col min="50" max="16384" width="8.88671875" style="2"/>
  </cols>
  <sheetData>
    <row r="1" spans="1:51">
      <c r="A1" s="1" t="s">
        <v>0</v>
      </c>
    </row>
    <row r="2" spans="1:51">
      <c r="A2" s="1" t="s">
        <v>1</v>
      </c>
    </row>
    <row r="3" spans="1:51">
      <c r="A3" s="1" t="s">
        <v>22</v>
      </c>
    </row>
    <row r="5" spans="1:51" s="6" customFormat="1" ht="20.399999999999999">
      <c r="A5" s="3"/>
      <c r="B5" s="3"/>
      <c r="C5" s="3"/>
      <c r="D5" s="3"/>
      <c r="E5" s="3"/>
      <c r="F5" s="3"/>
      <c r="G5" s="3"/>
      <c r="H5" s="3"/>
      <c r="I5" s="3"/>
      <c r="J5" s="3"/>
      <c r="K5" s="145" t="s">
        <v>40</v>
      </c>
      <c r="L5" s="145" t="s">
        <v>41</v>
      </c>
      <c r="M5" s="145" t="s">
        <v>42</v>
      </c>
      <c r="N5" s="145" t="s">
        <v>43</v>
      </c>
      <c r="O5" s="145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5" t="str">
        <f>INDEX(WTB!$A:$B,MATCH(AA$6,WTB!$A:$A,),2)</f>
        <v>RAW MATS FOOD</v>
      </c>
      <c r="AB5" s="72" t="str">
        <f>INDEX(WTB!$A:$B,MATCH(AB$6,WTB!$A:$A,),2)</f>
        <v>RAW MATS BEVERAGES</v>
      </c>
      <c r="AC5" s="72" t="str">
        <f>INDEX(WTB!$A:$B,MATCH(AC$6,WTB!$A:$A,),2)</f>
        <v>BAR SUPPLIES</v>
      </c>
      <c r="AD5" s="72" t="str">
        <f>INDEX(WTB!$A:$B,MATCH(AD$6,WTB!$A:$A,),2)</f>
        <v>OFFICE SUPPLIES</v>
      </c>
      <c r="AE5" s="72" t="str">
        <f>INDEX(WTB!$A:$B,MATCH(AE$6,WTB!$A:$A,),2)</f>
        <v>DINING SUPPLIES</v>
      </c>
      <c r="AF5" s="72" t="str">
        <f>INDEX(WTB!$A:$B,MATCH(AF$6,WTB!$A:$A,),2)</f>
        <v>GUEST SUPPLIES</v>
      </c>
      <c r="AG5" s="72" t="str">
        <f>INDEX(WTB!$A:$B,MATCH(AG$6,WTB!$A:$A,),2)</f>
        <v>CLEANING SUPPLIES</v>
      </c>
      <c r="AH5" s="72" t="str">
        <f>INDEX(WTB!$A:$B,MATCH(AH$6,WTB!$A:$A,),2)</f>
        <v>PACKAGING SUPPLIES</v>
      </c>
      <c r="AI5" s="72" t="str">
        <f>INDEX(WTB!$A:$B,MATCH(AI$6,WTB!$A:$A,),2)</f>
        <v>MEDICAL SUPPLIES</v>
      </c>
      <c r="AJ5" s="72" t="str">
        <f>INDEX(WTB!$A:$B,MATCH(AJ$6,WTB!$A:$A,),2)</f>
        <v>UTENSILS / EQUIPMENT</v>
      </c>
      <c r="AK5" s="72" t="str">
        <f>INDEX(WTB!$A:$B,MATCH(AK$6,WTB!$A:$A,),2)</f>
        <v>Employees Meal</v>
      </c>
      <c r="AL5" s="72" t="str">
        <f>INDEX(WTB!$A:$B,MATCH(AL$6,WTB!$A:$A,),2)</f>
        <v>Insurance</v>
      </c>
      <c r="AM5" s="72" t="str">
        <f>INDEX(WTB!$A:$B,MATCH(AM$6,WTB!$A:$A,),2)</f>
        <v>Accounting Fee</v>
      </c>
      <c r="AN5" s="72" t="str">
        <f>INDEX(WTB!$A:$B,MATCH(AN$6,WTB!$A:$A,),2)</f>
        <v>Security Services</v>
      </c>
      <c r="AO5" s="72" t="str">
        <f>INDEX(WTB!$A:$B,MATCH(AO$6,WTB!$A:$A,),2)</f>
        <v>Pest Control</v>
      </c>
      <c r="AP5" s="72" t="str">
        <f>INDEX(WTB!$A:$B,MATCH(AP$6,WTB!$A:$A,),2)</f>
        <v>Marketing Support</v>
      </c>
      <c r="AQ5" s="72" t="str">
        <f>INDEX(WTB!$A:$B,MATCH(AQ$6,WTB!$A:$A,),2)</f>
        <v>Consultancy</v>
      </c>
      <c r="AR5" s="72" t="str">
        <f>INDEX(WTB!$A:$B,MATCH(AR$6,WTB!$A:$A,),2)</f>
        <v>Telephone</v>
      </c>
      <c r="AS5" s="72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46"/>
      <c r="L6" s="146"/>
      <c r="M6" s="146"/>
      <c r="N6" s="146"/>
      <c r="O6" s="146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3">
        <v>5001</v>
      </c>
      <c r="AB6" s="73">
        <v>5002</v>
      </c>
      <c r="AC6" s="73">
        <v>6214</v>
      </c>
      <c r="AD6" s="73">
        <v>6212</v>
      </c>
      <c r="AE6" s="73">
        <v>6218</v>
      </c>
      <c r="AF6" s="73">
        <v>6217</v>
      </c>
      <c r="AG6" s="73">
        <v>6219</v>
      </c>
      <c r="AH6" s="73">
        <v>6220</v>
      </c>
      <c r="AI6" s="73">
        <v>6229</v>
      </c>
      <c r="AJ6" s="73">
        <v>6211</v>
      </c>
      <c r="AK6" s="73">
        <v>6109</v>
      </c>
      <c r="AL6" s="73">
        <v>6308</v>
      </c>
      <c r="AM6" s="73">
        <v>6312</v>
      </c>
      <c r="AN6" s="73">
        <v>6313</v>
      </c>
      <c r="AO6" s="73">
        <v>6234</v>
      </c>
      <c r="AP6" s="73">
        <v>6315</v>
      </c>
      <c r="AQ6" s="73">
        <v>6316</v>
      </c>
      <c r="AR6" s="73">
        <v>6204</v>
      </c>
      <c r="AS6" s="73">
        <v>5101</v>
      </c>
      <c r="AT6" s="8"/>
      <c r="AU6" s="7">
        <v>2101</v>
      </c>
      <c r="AV6" s="8"/>
      <c r="AW6" s="7" t="s">
        <v>23</v>
      </c>
      <c r="AX6" s="7" t="s">
        <v>24</v>
      </c>
      <c r="AY6" s="76" t="s">
        <v>167</v>
      </c>
    </row>
    <row r="7" spans="1:51">
      <c r="A7" s="17">
        <v>43374</v>
      </c>
      <c r="B7" s="14" t="s">
        <v>461</v>
      </c>
      <c r="C7" s="15">
        <v>140881</v>
      </c>
      <c r="D7" s="15"/>
      <c r="E7" s="15">
        <v>11460</v>
      </c>
      <c r="F7" s="15">
        <v>1891</v>
      </c>
      <c r="G7" s="14" t="s">
        <v>389</v>
      </c>
      <c r="H7" s="14" t="s">
        <v>390</v>
      </c>
      <c r="I7" s="14" t="s">
        <v>417</v>
      </c>
      <c r="J7" s="14"/>
      <c r="K7" s="14"/>
      <c r="L7" s="14"/>
      <c r="M7" s="16">
        <v>4050</v>
      </c>
      <c r="N7" s="16">
        <v>0</v>
      </c>
      <c r="O7" s="31">
        <f t="shared" ref="O7:O64" si="0">N7/1.12+M7+L7+K7</f>
        <v>4050</v>
      </c>
      <c r="P7" s="31"/>
      <c r="Q7" s="36">
        <v>0.01</v>
      </c>
      <c r="R7" s="14"/>
      <c r="S7" s="16">
        <v>0</v>
      </c>
      <c r="T7" s="16">
        <v>-40.5</v>
      </c>
      <c r="U7" s="16"/>
      <c r="V7" s="16"/>
      <c r="W7" s="16"/>
      <c r="X7" s="16"/>
      <c r="Y7" s="16"/>
      <c r="Z7" s="16"/>
      <c r="AA7" s="16">
        <v>4050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6">
        <f>-SUM(R7:AT7)</f>
        <v>-4009.5</v>
      </c>
      <c r="AV7" s="105"/>
      <c r="AW7" s="17"/>
      <c r="AX7" s="14"/>
      <c r="AY7" s="14"/>
    </row>
    <row r="8" spans="1:51">
      <c r="A8" s="17">
        <v>43374</v>
      </c>
      <c r="B8" s="14" t="s">
        <v>462</v>
      </c>
      <c r="C8" s="15">
        <v>68939</v>
      </c>
      <c r="D8" s="15"/>
      <c r="E8" s="15">
        <v>11461</v>
      </c>
      <c r="F8" s="15">
        <v>1892</v>
      </c>
      <c r="G8" s="14" t="s">
        <v>391</v>
      </c>
      <c r="H8" s="14" t="s">
        <v>392</v>
      </c>
      <c r="I8" s="14" t="s">
        <v>419</v>
      </c>
      <c r="J8" s="14"/>
      <c r="K8" s="14"/>
      <c r="L8" s="14"/>
      <c r="M8" s="16">
        <v>2116.5</v>
      </c>
      <c r="N8" s="16">
        <v>0</v>
      </c>
      <c r="O8" s="31">
        <f t="shared" si="0"/>
        <v>2116.5</v>
      </c>
      <c r="P8" s="31"/>
      <c r="Q8" s="36">
        <v>0.01</v>
      </c>
      <c r="R8" s="14"/>
      <c r="S8" s="16">
        <v>0</v>
      </c>
      <c r="T8" s="16">
        <v>-21.164999999999999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>
        <v>2116.5</v>
      </c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-2095.335</v>
      </c>
      <c r="AV8" s="105"/>
      <c r="AW8" s="17"/>
      <c r="AX8" s="14"/>
      <c r="AY8" s="14"/>
    </row>
    <row r="9" spans="1:51">
      <c r="A9" s="17">
        <v>43374</v>
      </c>
      <c r="B9" s="14" t="s">
        <v>463</v>
      </c>
      <c r="C9" s="15">
        <v>68938</v>
      </c>
      <c r="D9" s="15"/>
      <c r="E9" s="15">
        <v>11462</v>
      </c>
      <c r="F9" s="15">
        <v>1893</v>
      </c>
      <c r="G9" s="14" t="s">
        <v>391</v>
      </c>
      <c r="H9" s="14" t="s">
        <v>392</v>
      </c>
      <c r="I9" s="14" t="s">
        <v>417</v>
      </c>
      <c r="J9" s="14"/>
      <c r="K9" s="14"/>
      <c r="L9" s="14"/>
      <c r="M9" s="16">
        <v>6935</v>
      </c>
      <c r="N9" s="16">
        <v>0</v>
      </c>
      <c r="O9" s="31">
        <f t="shared" si="0"/>
        <v>6935</v>
      </c>
      <c r="P9" s="31"/>
      <c r="Q9" s="36">
        <v>0.01</v>
      </c>
      <c r="R9" s="14"/>
      <c r="S9" s="16">
        <v>0</v>
      </c>
      <c r="T9" s="16">
        <v>-69.350000000000009</v>
      </c>
      <c r="U9" s="16"/>
      <c r="V9" s="16"/>
      <c r="W9" s="16"/>
      <c r="X9" s="16"/>
      <c r="Y9" s="16"/>
      <c r="Z9" s="16"/>
      <c r="AA9" s="16">
        <v>6935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>
        <f t="shared" si="1"/>
        <v>-6865.65</v>
      </c>
      <c r="AV9" s="105"/>
      <c r="AW9" s="17"/>
      <c r="AX9" s="14"/>
      <c r="AY9" s="14"/>
    </row>
    <row r="10" spans="1:51">
      <c r="A10" s="17">
        <v>43374</v>
      </c>
      <c r="B10" s="14" t="s">
        <v>464</v>
      </c>
      <c r="C10" s="15">
        <v>120001233025</v>
      </c>
      <c r="D10" s="15"/>
      <c r="E10" s="15">
        <v>11463</v>
      </c>
      <c r="F10" s="15">
        <v>1894</v>
      </c>
      <c r="G10" s="14" t="s">
        <v>396</v>
      </c>
      <c r="H10" s="14" t="s">
        <v>397</v>
      </c>
      <c r="I10" s="14" t="s">
        <v>416</v>
      </c>
      <c r="J10" s="14"/>
      <c r="K10" s="14"/>
      <c r="L10" s="14"/>
      <c r="M10" s="16">
        <v>0</v>
      </c>
      <c r="N10" s="16">
        <v>8040</v>
      </c>
      <c r="O10" s="31">
        <f t="shared" si="0"/>
        <v>7178.5714285714275</v>
      </c>
      <c r="P10" s="31"/>
      <c r="Q10" s="36">
        <v>0.01</v>
      </c>
      <c r="R10" s="14"/>
      <c r="S10" s="16">
        <v>861.42857142857122</v>
      </c>
      <c r="T10" s="16">
        <v>-71.785714285714278</v>
      </c>
      <c r="U10" s="16"/>
      <c r="V10" s="16"/>
      <c r="W10" s="16"/>
      <c r="X10" s="16"/>
      <c r="Y10" s="16"/>
      <c r="Z10" s="16"/>
      <c r="AA10" s="16"/>
      <c r="AB10" s="16">
        <v>7178.5714285714275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-7968.2142857142844</v>
      </c>
      <c r="AV10" s="105"/>
      <c r="AW10" s="17"/>
      <c r="AX10" s="14"/>
      <c r="AY10" s="14"/>
    </row>
    <row r="11" spans="1:51">
      <c r="A11" s="17">
        <v>43375</v>
      </c>
      <c r="B11" s="14" t="s">
        <v>465</v>
      </c>
      <c r="C11" s="15">
        <v>8889</v>
      </c>
      <c r="D11" s="15"/>
      <c r="E11" s="15">
        <v>11464</v>
      </c>
      <c r="F11" s="15">
        <v>1895</v>
      </c>
      <c r="G11" s="14" t="s">
        <v>412</v>
      </c>
      <c r="H11" s="14" t="s">
        <v>413</v>
      </c>
      <c r="I11" s="14" t="s">
        <v>419</v>
      </c>
      <c r="J11" s="14"/>
      <c r="K11" s="14"/>
      <c r="L11" s="14"/>
      <c r="M11" s="16">
        <v>418.8</v>
      </c>
      <c r="N11" s="16">
        <v>0</v>
      </c>
      <c r="O11" s="31">
        <f t="shared" si="0"/>
        <v>418.8</v>
      </c>
      <c r="P11" s="31"/>
      <c r="Q11" s="36">
        <v>0.01</v>
      </c>
      <c r="R11" s="14"/>
      <c r="S11" s="16">
        <v>0</v>
      </c>
      <c r="T11" s="16">
        <v>-4.1880000000000006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>
        <v>418.8</v>
      </c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-414.61200000000002</v>
      </c>
      <c r="AV11" s="105"/>
      <c r="AW11" s="17"/>
      <c r="AX11" s="14"/>
      <c r="AY11" s="14"/>
    </row>
    <row r="12" spans="1:51">
      <c r="A12" s="17"/>
      <c r="B12" s="14" t="s">
        <v>466</v>
      </c>
      <c r="C12" s="15">
        <v>8889</v>
      </c>
      <c r="D12" s="15"/>
      <c r="E12" s="15">
        <v>11464</v>
      </c>
      <c r="F12" s="15">
        <v>1895</v>
      </c>
      <c r="G12" s="14" t="s">
        <v>412</v>
      </c>
      <c r="H12" s="14" t="s">
        <v>413</v>
      </c>
      <c r="I12" s="14" t="s">
        <v>417</v>
      </c>
      <c r="J12" s="14"/>
      <c r="K12" s="14"/>
      <c r="L12" s="14"/>
      <c r="M12" s="16">
        <v>4584.3</v>
      </c>
      <c r="N12" s="16">
        <v>0</v>
      </c>
      <c r="O12" s="31">
        <f t="shared" si="0"/>
        <v>4584.3</v>
      </c>
      <c r="P12" s="31"/>
      <c r="Q12" s="36">
        <v>0.01</v>
      </c>
      <c r="R12" s="14"/>
      <c r="S12" s="16">
        <v>0</v>
      </c>
      <c r="T12" s="16">
        <v>-45.843000000000004</v>
      </c>
      <c r="U12" s="16"/>
      <c r="V12" s="16"/>
      <c r="W12" s="16"/>
      <c r="X12" s="16"/>
      <c r="Y12" s="16"/>
      <c r="Z12" s="16"/>
      <c r="AA12" s="16">
        <v>4584.3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-4538.4570000000003</v>
      </c>
      <c r="AV12" s="105"/>
      <c r="AW12" s="17"/>
      <c r="AX12" s="14"/>
      <c r="AY12" s="14"/>
    </row>
    <row r="13" spans="1:51">
      <c r="A13" s="17"/>
      <c r="B13" s="14" t="s">
        <v>467</v>
      </c>
      <c r="C13" s="15">
        <v>14745</v>
      </c>
      <c r="D13" s="15"/>
      <c r="E13" s="15">
        <v>11466</v>
      </c>
      <c r="F13" s="15">
        <v>1890</v>
      </c>
      <c r="G13" s="14" t="s">
        <v>405</v>
      </c>
      <c r="H13" s="14" t="s">
        <v>406</v>
      </c>
      <c r="I13" s="14" t="s">
        <v>417</v>
      </c>
      <c r="J13" s="14"/>
      <c r="K13" s="14"/>
      <c r="L13" s="14"/>
      <c r="M13" s="16">
        <v>0</v>
      </c>
      <c r="N13" s="16">
        <v>2460</v>
      </c>
      <c r="O13" s="31">
        <f t="shared" si="0"/>
        <v>2196.4285714285711</v>
      </c>
      <c r="P13" s="31"/>
      <c r="Q13" s="36">
        <v>0.01</v>
      </c>
      <c r="R13" s="14"/>
      <c r="S13" s="16">
        <v>263.5714285714285</v>
      </c>
      <c r="T13" s="16">
        <v>-21.964285714285712</v>
      </c>
      <c r="U13" s="16"/>
      <c r="V13" s="16"/>
      <c r="W13" s="16"/>
      <c r="X13" s="16"/>
      <c r="Y13" s="16"/>
      <c r="Z13" s="16"/>
      <c r="AA13" s="16">
        <v>2196.4285714285711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-2438.0357142857138</v>
      </c>
      <c r="AV13" s="105"/>
      <c r="AW13" s="17"/>
      <c r="AX13" s="14"/>
      <c r="AY13" s="14"/>
    </row>
    <row r="14" spans="1:51">
      <c r="A14" s="17"/>
      <c r="B14" s="14" t="s">
        <v>468</v>
      </c>
      <c r="C14" s="15">
        <v>229096</v>
      </c>
      <c r="D14" s="15"/>
      <c r="E14" s="15">
        <v>11467</v>
      </c>
      <c r="F14" s="15">
        <v>1898</v>
      </c>
      <c r="G14" s="14" t="s">
        <v>402</v>
      </c>
      <c r="H14" s="14">
        <v>139564</v>
      </c>
      <c r="I14" s="14" t="s">
        <v>420</v>
      </c>
      <c r="J14" s="14"/>
      <c r="K14" s="14"/>
      <c r="L14" s="14"/>
      <c r="M14" s="16">
        <v>0</v>
      </c>
      <c r="N14" s="16">
        <v>6165.09</v>
      </c>
      <c r="O14" s="31">
        <f t="shared" si="0"/>
        <v>5504.5446428571422</v>
      </c>
      <c r="P14" s="31"/>
      <c r="Q14" s="36">
        <v>0.01</v>
      </c>
      <c r="R14" s="14"/>
      <c r="S14" s="16">
        <v>660.54535714285703</v>
      </c>
      <c r="T14" s="16">
        <v>-55.045446428571424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>
        <v>5504.5446428571422</v>
      </c>
      <c r="AU14" s="16">
        <f t="shared" si="1"/>
        <v>-6110.044553571428</v>
      </c>
      <c r="AV14" s="105"/>
      <c r="AW14" s="17"/>
      <c r="AX14" s="14"/>
      <c r="AY14" s="14"/>
    </row>
    <row r="15" spans="1:51">
      <c r="A15" s="17"/>
      <c r="B15" s="14" t="s">
        <v>469</v>
      </c>
      <c r="C15" s="15">
        <v>30586</v>
      </c>
      <c r="D15" s="15"/>
      <c r="E15" s="15">
        <v>11468</v>
      </c>
      <c r="F15" s="15">
        <v>1899</v>
      </c>
      <c r="G15" s="14" t="s">
        <v>394</v>
      </c>
      <c r="H15" s="14" t="s">
        <v>395</v>
      </c>
      <c r="I15" s="14" t="s">
        <v>418</v>
      </c>
      <c r="J15" s="14"/>
      <c r="K15" s="14"/>
      <c r="L15" s="14"/>
      <c r="M15" s="16">
        <v>0</v>
      </c>
      <c r="N15" s="16">
        <v>1896</v>
      </c>
      <c r="O15" s="31">
        <f t="shared" si="0"/>
        <v>1692.8571428571427</v>
      </c>
      <c r="P15" s="31"/>
      <c r="Q15" s="36">
        <v>0.01</v>
      </c>
      <c r="R15" s="14"/>
      <c r="S15" s="16">
        <v>203.14285714285711</v>
      </c>
      <c r="T15" s="16">
        <v>-16.928571428571427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>
        <v>1692.8571428571427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-1879.0714285714284</v>
      </c>
      <c r="AV15" s="105"/>
      <c r="AW15" s="17"/>
      <c r="AX15" s="14"/>
      <c r="AY15" s="14"/>
    </row>
    <row r="16" spans="1:51">
      <c r="A16" s="17">
        <v>43376</v>
      </c>
      <c r="B16" s="14" t="s">
        <v>470</v>
      </c>
      <c r="C16" s="15">
        <v>4418</v>
      </c>
      <c r="D16" s="15"/>
      <c r="E16" s="15">
        <v>11469</v>
      </c>
      <c r="F16" s="15">
        <v>1900</v>
      </c>
      <c r="G16" s="14" t="s">
        <v>761</v>
      </c>
      <c r="H16" s="14" t="s">
        <v>393</v>
      </c>
      <c r="I16" s="14" t="s">
        <v>417</v>
      </c>
      <c r="J16" s="14"/>
      <c r="K16" s="14"/>
      <c r="L16" s="14"/>
      <c r="M16" s="16">
        <v>2840</v>
      </c>
      <c r="N16" s="16">
        <v>0</v>
      </c>
      <c r="O16" s="31">
        <f t="shared" si="0"/>
        <v>2840</v>
      </c>
      <c r="P16" s="31"/>
      <c r="Q16" s="36">
        <v>0.01</v>
      </c>
      <c r="R16" s="14"/>
      <c r="S16" s="16">
        <v>0</v>
      </c>
      <c r="T16" s="16">
        <v>-28.400000000000002</v>
      </c>
      <c r="U16" s="16"/>
      <c r="V16" s="16"/>
      <c r="W16" s="16"/>
      <c r="X16" s="16"/>
      <c r="Y16" s="16"/>
      <c r="Z16" s="16"/>
      <c r="AA16" s="16">
        <v>2840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-2811.6</v>
      </c>
      <c r="AV16" s="105"/>
      <c r="AW16" s="17"/>
      <c r="AX16" s="14"/>
      <c r="AY16" s="14"/>
    </row>
    <row r="17" spans="1:51">
      <c r="A17" s="17">
        <v>43379</v>
      </c>
      <c r="B17" s="14" t="s">
        <v>471</v>
      </c>
      <c r="C17" s="15">
        <v>24754</v>
      </c>
      <c r="D17" s="15"/>
      <c r="E17" s="15">
        <v>11470</v>
      </c>
      <c r="F17" s="15">
        <v>1901</v>
      </c>
      <c r="G17" s="14" t="s">
        <v>409</v>
      </c>
      <c r="H17" s="14" t="s">
        <v>410</v>
      </c>
      <c r="I17" s="14" t="s">
        <v>417</v>
      </c>
      <c r="J17" s="14"/>
      <c r="K17" s="14"/>
      <c r="L17" s="14"/>
      <c r="M17" s="16">
        <v>0</v>
      </c>
      <c r="N17" s="16">
        <v>15626</v>
      </c>
      <c r="O17" s="31">
        <f t="shared" si="0"/>
        <v>13951.785714285714</v>
      </c>
      <c r="P17" s="31"/>
      <c r="Q17" s="36">
        <v>0.01</v>
      </c>
      <c r="R17" s="14"/>
      <c r="S17" s="16">
        <v>1674.2142857142856</v>
      </c>
      <c r="T17" s="16">
        <v>-139.51785714285714</v>
      </c>
      <c r="U17" s="16"/>
      <c r="V17" s="16"/>
      <c r="W17" s="16"/>
      <c r="X17" s="16"/>
      <c r="Y17" s="16"/>
      <c r="Z17" s="16"/>
      <c r="AA17" s="16">
        <v>13951.785714285714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-15486.482142857141</v>
      </c>
      <c r="AV17" s="105"/>
      <c r="AW17" s="17"/>
      <c r="AX17" s="14"/>
      <c r="AY17" s="14"/>
    </row>
    <row r="18" spans="1:51">
      <c r="A18" s="17">
        <v>43381</v>
      </c>
      <c r="B18" s="14" t="s">
        <v>472</v>
      </c>
      <c r="C18" s="15">
        <v>9018</v>
      </c>
      <c r="D18" s="15"/>
      <c r="E18" s="15">
        <v>11474</v>
      </c>
      <c r="F18" s="15">
        <v>1911</v>
      </c>
      <c r="G18" s="14" t="s">
        <v>412</v>
      </c>
      <c r="H18" s="14" t="s">
        <v>413</v>
      </c>
      <c r="I18" s="14" t="s">
        <v>419</v>
      </c>
      <c r="J18" s="14"/>
      <c r="K18" s="14"/>
      <c r="L18" s="14"/>
      <c r="M18" s="16">
        <v>425</v>
      </c>
      <c r="N18" s="16">
        <v>0</v>
      </c>
      <c r="O18" s="31">
        <f t="shared" si="0"/>
        <v>425</v>
      </c>
      <c r="P18" s="31"/>
      <c r="Q18" s="36">
        <v>0.01</v>
      </c>
      <c r="R18" s="14"/>
      <c r="S18" s="16">
        <v>0</v>
      </c>
      <c r="T18" s="16">
        <v>-4.25</v>
      </c>
      <c r="U18" s="16"/>
      <c r="V18" s="16"/>
      <c r="W18" s="16"/>
      <c r="X18" s="16"/>
      <c r="Y18" s="16"/>
      <c r="Z18" s="16"/>
      <c r="AA18" s="16"/>
      <c r="AB18" s="16">
        <v>425</v>
      </c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>
        <f t="shared" si="1"/>
        <v>-420.75</v>
      </c>
      <c r="AV18" s="105"/>
      <c r="AW18" s="17"/>
      <c r="AX18" s="14"/>
      <c r="AY18" s="14"/>
    </row>
    <row r="19" spans="1:51">
      <c r="A19" s="17"/>
      <c r="B19" s="14" t="s">
        <v>473</v>
      </c>
      <c r="C19" s="15">
        <v>9018</v>
      </c>
      <c r="D19" s="15"/>
      <c r="E19" s="15">
        <v>11474</v>
      </c>
      <c r="F19" s="15">
        <v>1911</v>
      </c>
      <c r="G19" s="14" t="s">
        <v>412</v>
      </c>
      <c r="H19" s="14" t="s">
        <v>413</v>
      </c>
      <c r="I19" s="14" t="s">
        <v>417</v>
      </c>
      <c r="J19" s="14"/>
      <c r="K19" s="14"/>
      <c r="L19" s="14"/>
      <c r="M19" s="16">
        <v>3420.5</v>
      </c>
      <c r="N19" s="16">
        <v>0</v>
      </c>
      <c r="O19" s="31">
        <f t="shared" si="0"/>
        <v>3420.5</v>
      </c>
      <c r="P19" s="31"/>
      <c r="Q19" s="36">
        <v>0.01</v>
      </c>
      <c r="R19" s="14"/>
      <c r="S19" s="16">
        <v>0</v>
      </c>
      <c r="T19" s="16">
        <v>-34.204999999999998</v>
      </c>
      <c r="U19" s="16"/>
      <c r="V19" s="16"/>
      <c r="W19" s="16"/>
      <c r="X19" s="16"/>
      <c r="Y19" s="16"/>
      <c r="Z19" s="16"/>
      <c r="AA19" s="16">
        <v>3420.5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>
        <f t="shared" si="1"/>
        <v>-3386.2950000000001</v>
      </c>
      <c r="AV19" s="105"/>
      <c r="AW19" s="17"/>
      <c r="AX19" s="14"/>
      <c r="AY19" s="14"/>
    </row>
    <row r="20" spans="1:51">
      <c r="A20" s="17"/>
      <c r="B20" s="14" t="s">
        <v>474</v>
      </c>
      <c r="C20" s="15">
        <v>4822</v>
      </c>
      <c r="D20" s="15"/>
      <c r="E20" s="15">
        <v>11475</v>
      </c>
      <c r="F20" s="15">
        <v>1910</v>
      </c>
      <c r="G20" s="14" t="s">
        <v>414</v>
      </c>
      <c r="H20" s="14" t="s">
        <v>415</v>
      </c>
      <c r="I20" s="14" t="s">
        <v>417</v>
      </c>
      <c r="J20" s="14"/>
      <c r="K20" s="14"/>
      <c r="L20" s="14"/>
      <c r="M20" s="16">
        <v>0</v>
      </c>
      <c r="N20" s="16">
        <v>8300</v>
      </c>
      <c r="O20" s="31">
        <f t="shared" si="0"/>
        <v>7410.7142857142853</v>
      </c>
      <c r="P20" s="31"/>
      <c r="Q20" s="36">
        <v>0.01</v>
      </c>
      <c r="R20" s="14"/>
      <c r="S20" s="16">
        <v>889.28571428571422</v>
      </c>
      <c r="T20" s="16">
        <v>-74.107142857142861</v>
      </c>
      <c r="U20" s="16"/>
      <c r="V20" s="16"/>
      <c r="W20" s="16"/>
      <c r="X20" s="16"/>
      <c r="Y20" s="16"/>
      <c r="Z20" s="16"/>
      <c r="AA20" s="16">
        <v>7410.7142857142853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-8225.8928571428569</v>
      </c>
      <c r="AV20" s="105"/>
      <c r="AW20" s="17"/>
      <c r="AX20" s="14"/>
      <c r="AY20" s="14"/>
    </row>
    <row r="21" spans="1:51">
      <c r="A21" s="17"/>
      <c r="B21" s="14" t="s">
        <v>475</v>
      </c>
      <c r="C21" s="15">
        <v>141390</v>
      </c>
      <c r="D21" s="15"/>
      <c r="E21" s="15">
        <v>11476</v>
      </c>
      <c r="F21" s="15">
        <v>1909</v>
      </c>
      <c r="G21" s="14" t="s">
        <v>389</v>
      </c>
      <c r="H21" s="14" t="s">
        <v>390</v>
      </c>
      <c r="I21" s="14" t="s">
        <v>417</v>
      </c>
      <c r="J21" s="14"/>
      <c r="K21" s="14"/>
      <c r="L21" s="14"/>
      <c r="M21" s="16">
        <v>3200</v>
      </c>
      <c r="N21" s="16">
        <v>0</v>
      </c>
      <c r="O21" s="31">
        <f t="shared" si="0"/>
        <v>3200</v>
      </c>
      <c r="P21" s="31"/>
      <c r="Q21" s="36">
        <v>0.01</v>
      </c>
      <c r="R21" s="14"/>
      <c r="S21" s="16">
        <v>0</v>
      </c>
      <c r="T21" s="16">
        <v>-32</v>
      </c>
      <c r="U21" s="16"/>
      <c r="V21" s="16"/>
      <c r="W21" s="16"/>
      <c r="X21" s="16"/>
      <c r="Y21" s="16"/>
      <c r="Z21" s="16"/>
      <c r="AA21" s="16">
        <v>3200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>
        <f t="shared" si="1"/>
        <v>-3168</v>
      </c>
      <c r="AV21" s="105"/>
      <c r="AW21" s="17"/>
      <c r="AX21" s="14"/>
      <c r="AY21" s="14"/>
    </row>
    <row r="22" spans="1:51">
      <c r="A22" s="17"/>
      <c r="B22" s="14" t="s">
        <v>476</v>
      </c>
      <c r="C22" s="15">
        <v>68946</v>
      </c>
      <c r="D22" s="15"/>
      <c r="E22" s="15">
        <v>11477</v>
      </c>
      <c r="F22" s="15">
        <v>1908</v>
      </c>
      <c r="G22" s="14" t="s">
        <v>391</v>
      </c>
      <c r="H22" s="14" t="s">
        <v>392</v>
      </c>
      <c r="I22" s="14" t="s">
        <v>419</v>
      </c>
      <c r="J22" s="14"/>
      <c r="K22" s="14"/>
      <c r="L22" s="14"/>
      <c r="M22" s="16">
        <v>1997.5</v>
      </c>
      <c r="N22" s="16">
        <v>0</v>
      </c>
      <c r="O22" s="31">
        <f t="shared" si="0"/>
        <v>1997.5</v>
      </c>
      <c r="P22" s="31"/>
      <c r="Q22" s="36">
        <v>0.01</v>
      </c>
      <c r="R22" s="14"/>
      <c r="S22" s="16">
        <v>0</v>
      </c>
      <c r="T22" s="16">
        <v>-19.975000000000001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1997.5</v>
      </c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-1977.5250000000001</v>
      </c>
      <c r="AV22" s="105"/>
      <c r="AW22" s="17"/>
      <c r="AX22" s="14"/>
      <c r="AY22" s="14"/>
    </row>
    <row r="23" spans="1:51">
      <c r="A23" s="17"/>
      <c r="B23" s="14" t="s">
        <v>477</v>
      </c>
      <c r="C23" s="15">
        <v>68945</v>
      </c>
      <c r="D23" s="15"/>
      <c r="E23" s="15">
        <v>11478</v>
      </c>
      <c r="F23" s="15">
        <v>1907</v>
      </c>
      <c r="G23" s="14" t="s">
        <v>391</v>
      </c>
      <c r="H23" s="14" t="s">
        <v>392</v>
      </c>
      <c r="I23" s="14" t="s">
        <v>417</v>
      </c>
      <c r="J23" s="14"/>
      <c r="K23" s="14"/>
      <c r="L23" s="14"/>
      <c r="M23" s="16">
        <v>2565</v>
      </c>
      <c r="N23" s="16">
        <v>0</v>
      </c>
      <c r="O23" s="31">
        <f t="shared" si="0"/>
        <v>2565</v>
      </c>
      <c r="P23" s="31"/>
      <c r="Q23" s="36">
        <v>0.01</v>
      </c>
      <c r="R23" s="14"/>
      <c r="S23" s="16">
        <v>0</v>
      </c>
      <c r="T23" s="16">
        <v>-25.650000000000002</v>
      </c>
      <c r="U23" s="16"/>
      <c r="V23" s="16"/>
      <c r="W23" s="16"/>
      <c r="X23" s="16"/>
      <c r="Y23" s="16"/>
      <c r="Z23" s="16"/>
      <c r="AA23" s="16">
        <v>2565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-2539.35</v>
      </c>
      <c r="AV23" s="105"/>
      <c r="AW23" s="17"/>
      <c r="AX23" s="14"/>
      <c r="AY23" s="14"/>
    </row>
    <row r="24" spans="1:51">
      <c r="A24" s="17">
        <v>43382</v>
      </c>
      <c r="B24" s="14" t="s">
        <v>478</v>
      </c>
      <c r="C24" s="15">
        <v>510585022</v>
      </c>
      <c r="D24" s="15"/>
      <c r="E24" s="15">
        <v>11471</v>
      </c>
      <c r="F24" s="15">
        <v>1912</v>
      </c>
      <c r="G24" s="14" t="s">
        <v>387</v>
      </c>
      <c r="H24" s="14" t="s">
        <v>388</v>
      </c>
      <c r="I24" s="14" t="s">
        <v>416</v>
      </c>
      <c r="J24" s="14"/>
      <c r="K24" s="14"/>
      <c r="L24" s="14"/>
      <c r="M24" s="16">
        <v>0</v>
      </c>
      <c r="N24" s="16">
        <v>6664</v>
      </c>
      <c r="O24" s="31">
        <f t="shared" si="0"/>
        <v>5949.9999999999991</v>
      </c>
      <c r="P24" s="31"/>
      <c r="Q24" s="36">
        <v>0.01</v>
      </c>
      <c r="R24" s="14"/>
      <c r="S24" s="16">
        <v>713.99999999999989</v>
      </c>
      <c r="T24" s="16">
        <v>-59.499999999999993</v>
      </c>
      <c r="U24" s="16"/>
      <c r="V24" s="16"/>
      <c r="W24" s="16"/>
      <c r="X24" s="16"/>
      <c r="Y24" s="16"/>
      <c r="Z24" s="16"/>
      <c r="AA24" s="16"/>
      <c r="AB24" s="16">
        <v>5949.9999999999991</v>
      </c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-6604.4999999999991</v>
      </c>
      <c r="AV24" s="105"/>
      <c r="AW24" s="17"/>
      <c r="AX24" s="14"/>
      <c r="AY24" s="14"/>
    </row>
    <row r="25" spans="1:51">
      <c r="A25" s="17"/>
      <c r="B25" s="14" t="s">
        <v>479</v>
      </c>
      <c r="C25" s="15">
        <v>30625</v>
      </c>
      <c r="D25" s="15"/>
      <c r="E25" s="15">
        <v>11472</v>
      </c>
      <c r="F25" s="15">
        <v>1904</v>
      </c>
      <c r="G25" s="14" t="s">
        <v>394</v>
      </c>
      <c r="H25" s="14" t="s">
        <v>395</v>
      </c>
      <c r="I25" s="14" t="s">
        <v>418</v>
      </c>
      <c r="J25" s="14"/>
      <c r="K25" s="14"/>
      <c r="L25" s="14"/>
      <c r="M25" s="16">
        <v>0</v>
      </c>
      <c r="N25" s="16">
        <v>5591</v>
      </c>
      <c r="O25" s="31">
        <f t="shared" si="0"/>
        <v>4991.9642857142853</v>
      </c>
      <c r="P25" s="31"/>
      <c r="Q25" s="36">
        <v>0.01</v>
      </c>
      <c r="R25" s="14"/>
      <c r="S25" s="16">
        <v>599.03571428571422</v>
      </c>
      <c r="T25" s="16">
        <v>-49.919642857142854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>
        <v>4991.9642857142853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-5541.0803571428569</v>
      </c>
      <c r="AV25" s="105"/>
      <c r="AW25" s="17"/>
      <c r="AX25" s="14"/>
      <c r="AY25" s="14"/>
    </row>
    <row r="26" spans="1:51">
      <c r="A26" s="17"/>
      <c r="B26" s="14" t="s">
        <v>480</v>
      </c>
      <c r="C26" s="15">
        <v>150737</v>
      </c>
      <c r="D26" s="15"/>
      <c r="E26" s="15">
        <v>11473</v>
      </c>
      <c r="F26" s="15">
        <v>1903</v>
      </c>
      <c r="G26" s="14" t="s">
        <v>407</v>
      </c>
      <c r="H26" s="14" t="s">
        <v>408</v>
      </c>
      <c r="I26" s="14" t="s">
        <v>417</v>
      </c>
      <c r="J26" s="14"/>
      <c r="K26" s="14"/>
      <c r="L26" s="14"/>
      <c r="M26" s="16">
        <v>0</v>
      </c>
      <c r="N26" s="16">
        <v>5930</v>
      </c>
      <c r="O26" s="31">
        <f t="shared" si="0"/>
        <v>5294.6428571428569</v>
      </c>
      <c r="P26" s="31"/>
      <c r="Q26" s="36">
        <v>0.01</v>
      </c>
      <c r="R26" s="14"/>
      <c r="S26" s="16">
        <v>635.35714285714278</v>
      </c>
      <c r="T26" s="16">
        <v>-52.946428571428569</v>
      </c>
      <c r="U26" s="16"/>
      <c r="V26" s="16"/>
      <c r="W26" s="16"/>
      <c r="X26" s="16"/>
      <c r="Y26" s="16"/>
      <c r="Z26" s="16"/>
      <c r="AA26" s="16">
        <v>5294.6428571428569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>
        <f t="shared" si="1"/>
        <v>-5877.0535714285706</v>
      </c>
      <c r="AV26" s="105"/>
      <c r="AW26" s="17"/>
      <c r="AX26" s="14"/>
      <c r="AY26" s="14"/>
    </row>
    <row r="27" spans="1:51">
      <c r="A27" s="17"/>
      <c r="B27" s="14" t="s">
        <v>481</v>
      </c>
      <c r="C27" s="15">
        <v>4565</v>
      </c>
      <c r="D27" s="15"/>
      <c r="E27" s="15">
        <v>11479</v>
      </c>
      <c r="F27" s="15">
        <v>1913</v>
      </c>
      <c r="G27" s="14" t="s">
        <v>761</v>
      </c>
      <c r="H27" s="14" t="s">
        <v>393</v>
      </c>
      <c r="I27" s="14" t="s">
        <v>417</v>
      </c>
      <c r="J27" s="14"/>
      <c r="K27" s="14"/>
      <c r="L27" s="14"/>
      <c r="M27" s="16">
        <v>1257.5</v>
      </c>
      <c r="N27" s="16">
        <v>0</v>
      </c>
      <c r="O27" s="31">
        <f t="shared" si="0"/>
        <v>1257.5</v>
      </c>
      <c r="P27" s="31"/>
      <c r="Q27" s="36">
        <v>0.01</v>
      </c>
      <c r="R27" s="14"/>
      <c r="S27" s="16">
        <v>0</v>
      </c>
      <c r="T27" s="16">
        <v>-12.575000000000001</v>
      </c>
      <c r="U27" s="16"/>
      <c r="V27" s="16"/>
      <c r="W27" s="16"/>
      <c r="X27" s="16"/>
      <c r="Y27" s="16"/>
      <c r="Z27" s="16"/>
      <c r="AA27" s="16">
        <v>1257.5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-1244.925</v>
      </c>
      <c r="AV27" s="105"/>
      <c r="AW27" s="17"/>
      <c r="AX27" s="14"/>
      <c r="AY27" s="14"/>
    </row>
    <row r="28" spans="1:51">
      <c r="A28" s="17">
        <v>43383</v>
      </c>
      <c r="B28" s="14" t="s">
        <v>482</v>
      </c>
      <c r="C28" s="15">
        <v>69551</v>
      </c>
      <c r="D28" s="15"/>
      <c r="E28" s="15">
        <v>11480</v>
      </c>
      <c r="F28" s="15">
        <v>1915</v>
      </c>
      <c r="G28" s="14" t="s">
        <v>391</v>
      </c>
      <c r="H28" s="14" t="s">
        <v>392</v>
      </c>
      <c r="I28" s="14" t="s">
        <v>417</v>
      </c>
      <c r="J28" s="14"/>
      <c r="K28" s="14"/>
      <c r="L28" s="14"/>
      <c r="M28" s="16">
        <v>2800</v>
      </c>
      <c r="N28" s="16">
        <v>0</v>
      </c>
      <c r="O28" s="31">
        <f t="shared" si="0"/>
        <v>2800</v>
      </c>
      <c r="P28" s="31"/>
      <c r="Q28" s="36">
        <v>0.01</v>
      </c>
      <c r="R28" s="14"/>
      <c r="S28" s="16">
        <v>0</v>
      </c>
      <c r="T28" s="16">
        <v>-28</v>
      </c>
      <c r="U28" s="16"/>
      <c r="V28" s="16"/>
      <c r="W28" s="16"/>
      <c r="X28" s="16"/>
      <c r="Y28" s="16"/>
      <c r="Z28" s="16"/>
      <c r="AA28" s="16">
        <v>2800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-2772</v>
      </c>
      <c r="AV28" s="105"/>
      <c r="AW28" s="17"/>
      <c r="AX28" s="14"/>
      <c r="AY28" s="14"/>
    </row>
    <row r="29" spans="1:51">
      <c r="A29" s="17"/>
      <c r="B29" s="14" t="s">
        <v>483</v>
      </c>
      <c r="C29" s="15">
        <v>27630</v>
      </c>
      <c r="D29" s="15"/>
      <c r="E29" s="15">
        <v>11481</v>
      </c>
      <c r="F29" s="15">
        <v>1905</v>
      </c>
      <c r="G29" s="14" t="s">
        <v>762</v>
      </c>
      <c r="H29" s="14" t="s">
        <v>763</v>
      </c>
      <c r="I29" s="14" t="s">
        <v>772</v>
      </c>
      <c r="J29" s="14"/>
      <c r="K29" s="14"/>
      <c r="L29" s="14"/>
      <c r="M29" s="16">
        <v>0</v>
      </c>
      <c r="N29" s="16">
        <v>1800</v>
      </c>
      <c r="O29" s="31">
        <f t="shared" si="0"/>
        <v>1607.1428571428569</v>
      </c>
      <c r="P29" s="31"/>
      <c r="Q29" s="36">
        <v>0.01</v>
      </c>
      <c r="R29" s="14"/>
      <c r="S29" s="16">
        <v>192.85714285714283</v>
      </c>
      <c r="T29" s="16">
        <v>-16.071428571428569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1607.1428571428569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-1783.9285714285711</v>
      </c>
      <c r="AV29" s="105"/>
      <c r="AW29" s="17"/>
      <c r="AX29" s="14"/>
      <c r="AY29" s="14"/>
    </row>
    <row r="30" spans="1:51">
      <c r="A30" s="17"/>
      <c r="B30" s="14" t="s">
        <v>484</v>
      </c>
      <c r="C30" s="15">
        <v>27630</v>
      </c>
      <c r="D30" s="15"/>
      <c r="E30" s="15">
        <v>11481</v>
      </c>
      <c r="F30" s="15">
        <v>1905</v>
      </c>
      <c r="G30" s="14" t="s">
        <v>762</v>
      </c>
      <c r="H30" s="14" t="s">
        <v>763</v>
      </c>
      <c r="I30" s="14" t="s">
        <v>145</v>
      </c>
      <c r="J30" s="14"/>
      <c r="K30" s="14"/>
      <c r="L30" s="14"/>
      <c r="M30" s="16">
        <v>0</v>
      </c>
      <c r="N30" s="16">
        <v>1055</v>
      </c>
      <c r="O30" s="31">
        <f t="shared" si="0"/>
        <v>941.96428571428567</v>
      </c>
      <c r="P30" s="31"/>
      <c r="Q30" s="36">
        <v>0.01</v>
      </c>
      <c r="R30" s="14"/>
      <c r="S30" s="16">
        <v>113.03571428571428</v>
      </c>
      <c r="T30" s="16">
        <v>-9.4196428571428577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>
        <v>941.96428571428567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>
        <f t="shared" si="1"/>
        <v>-1045.5803571428571</v>
      </c>
      <c r="AV30" s="105"/>
      <c r="AW30" s="17"/>
      <c r="AX30" s="14"/>
      <c r="AY30" s="14"/>
    </row>
    <row r="31" spans="1:51">
      <c r="A31" s="17"/>
      <c r="B31" s="14" t="s">
        <v>485</v>
      </c>
      <c r="C31" s="15">
        <v>36554</v>
      </c>
      <c r="D31" s="15"/>
      <c r="E31" s="15">
        <v>11482</v>
      </c>
      <c r="F31" s="15">
        <v>1888</v>
      </c>
      <c r="G31" s="14" t="s">
        <v>400</v>
      </c>
      <c r="H31" s="14" t="s">
        <v>401</v>
      </c>
      <c r="I31" s="14" t="s">
        <v>417</v>
      </c>
      <c r="J31" s="14"/>
      <c r="K31" s="14"/>
      <c r="L31" s="14"/>
      <c r="M31" s="16">
        <v>0</v>
      </c>
      <c r="N31" s="16">
        <v>16859</v>
      </c>
      <c r="O31" s="31">
        <f t="shared" si="0"/>
        <v>15052.678571428571</v>
      </c>
      <c r="P31" s="31"/>
      <c r="Q31" s="36">
        <v>0.01</v>
      </c>
      <c r="R31" s="14"/>
      <c r="S31" s="16">
        <v>1806.3214285714284</v>
      </c>
      <c r="T31" s="16">
        <v>-150.52678571428572</v>
      </c>
      <c r="U31" s="16"/>
      <c r="V31" s="16"/>
      <c r="W31" s="16"/>
      <c r="X31" s="16"/>
      <c r="Y31" s="16"/>
      <c r="Z31" s="16"/>
      <c r="AA31" s="16">
        <v>15052.678571428571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-16708.473214285714</v>
      </c>
      <c r="AV31" s="105"/>
      <c r="AW31" s="17"/>
      <c r="AX31" s="14"/>
      <c r="AY31" s="14"/>
    </row>
    <row r="32" spans="1:51">
      <c r="A32" s="17">
        <v>43384</v>
      </c>
      <c r="B32" s="14" t="s">
        <v>486</v>
      </c>
      <c r="C32" s="15">
        <v>143635</v>
      </c>
      <c r="D32" s="15"/>
      <c r="E32" s="15">
        <v>11484</v>
      </c>
      <c r="F32" s="15">
        <v>1916</v>
      </c>
      <c r="G32" s="14" t="s">
        <v>389</v>
      </c>
      <c r="H32" s="14" t="s">
        <v>390</v>
      </c>
      <c r="I32" s="14" t="s">
        <v>417</v>
      </c>
      <c r="J32" s="14"/>
      <c r="K32" s="14"/>
      <c r="L32" s="14"/>
      <c r="M32" s="16">
        <v>2950</v>
      </c>
      <c r="N32" s="16">
        <v>0</v>
      </c>
      <c r="O32" s="31">
        <f t="shared" si="0"/>
        <v>2950</v>
      </c>
      <c r="P32" s="31"/>
      <c r="Q32" s="36">
        <v>0.01</v>
      </c>
      <c r="R32" s="14"/>
      <c r="S32" s="16">
        <v>0</v>
      </c>
      <c r="T32" s="16">
        <v>-29.5</v>
      </c>
      <c r="U32" s="16"/>
      <c r="V32" s="16"/>
      <c r="W32" s="16"/>
      <c r="X32" s="16"/>
      <c r="Y32" s="16"/>
      <c r="Z32" s="16"/>
      <c r="AA32" s="16">
        <v>2950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>
        <f t="shared" si="1"/>
        <v>-2920.5</v>
      </c>
      <c r="AV32" s="105"/>
      <c r="AW32" s="17"/>
      <c r="AX32" s="14"/>
      <c r="AY32" s="14"/>
    </row>
    <row r="33" spans="1:51">
      <c r="A33" s="17"/>
      <c r="B33" s="14" t="s">
        <v>487</v>
      </c>
      <c r="C33" s="15">
        <v>5840</v>
      </c>
      <c r="D33" s="15"/>
      <c r="E33" s="15">
        <v>11485</v>
      </c>
      <c r="F33" s="15">
        <v>1917</v>
      </c>
      <c r="G33" s="14" t="s">
        <v>398</v>
      </c>
      <c r="H33" s="14" t="s">
        <v>399</v>
      </c>
      <c r="I33" s="14" t="s">
        <v>417</v>
      </c>
      <c r="J33" s="14"/>
      <c r="K33" s="14"/>
      <c r="L33" s="14"/>
      <c r="M33" s="16">
        <v>0</v>
      </c>
      <c r="N33" s="16">
        <v>4200</v>
      </c>
      <c r="O33" s="31">
        <f t="shared" si="0"/>
        <v>3749.9999999999995</v>
      </c>
      <c r="P33" s="31"/>
      <c r="Q33" s="36">
        <v>0.01</v>
      </c>
      <c r="R33" s="14"/>
      <c r="S33" s="16">
        <v>449.99999999999994</v>
      </c>
      <c r="T33" s="16">
        <v>-37.499999999999993</v>
      </c>
      <c r="U33" s="16"/>
      <c r="V33" s="16"/>
      <c r="W33" s="16"/>
      <c r="X33" s="16"/>
      <c r="Y33" s="16"/>
      <c r="Z33" s="16"/>
      <c r="AA33" s="16">
        <v>3749.9999999999995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>
        <f t="shared" si="1"/>
        <v>-4162.4999999999991</v>
      </c>
      <c r="AV33" s="105"/>
      <c r="AW33" s="17"/>
      <c r="AX33" s="14"/>
      <c r="AY33" s="14"/>
    </row>
    <row r="34" spans="1:51">
      <c r="A34" s="17"/>
      <c r="B34" s="14" t="s">
        <v>488</v>
      </c>
      <c r="C34" s="15">
        <v>229893</v>
      </c>
      <c r="D34" s="15"/>
      <c r="E34" s="15">
        <v>11486</v>
      </c>
      <c r="F34" s="15">
        <v>1918</v>
      </c>
      <c r="G34" s="14" t="s">
        <v>402</v>
      </c>
      <c r="H34" s="14">
        <v>139564</v>
      </c>
      <c r="I34" s="14" t="s">
        <v>420</v>
      </c>
      <c r="J34" s="14"/>
      <c r="K34" s="14"/>
      <c r="L34" s="14"/>
      <c r="M34" s="16">
        <v>0</v>
      </c>
      <c r="N34" s="16">
        <v>3097.14</v>
      </c>
      <c r="O34" s="31">
        <f t="shared" si="0"/>
        <v>2765.3035714285711</v>
      </c>
      <c r="P34" s="31"/>
      <c r="Q34" s="36">
        <v>0.01</v>
      </c>
      <c r="R34" s="14"/>
      <c r="S34" s="16">
        <v>331.83642857142854</v>
      </c>
      <c r="T34" s="16">
        <v>-27.653035714285711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>
        <v>2765.3035714285711</v>
      </c>
      <c r="AU34" s="16">
        <f t="shared" si="1"/>
        <v>-3069.4869642857138</v>
      </c>
      <c r="AV34" s="105"/>
      <c r="AW34" s="17"/>
      <c r="AX34" s="14"/>
      <c r="AY34" s="14"/>
    </row>
    <row r="35" spans="1:51">
      <c r="A35" s="17">
        <v>43385</v>
      </c>
      <c r="B35" s="14" t="s">
        <v>489</v>
      </c>
      <c r="C35" s="15">
        <v>105378</v>
      </c>
      <c r="D35" s="15"/>
      <c r="E35" s="15">
        <v>11487</v>
      </c>
      <c r="F35" s="15">
        <v>1897</v>
      </c>
      <c r="G35" s="14" t="s">
        <v>764</v>
      </c>
      <c r="H35" s="14" t="s">
        <v>765</v>
      </c>
      <c r="I35" s="14" t="s">
        <v>417</v>
      </c>
      <c r="J35" s="14"/>
      <c r="K35" s="14"/>
      <c r="L35" s="14"/>
      <c r="M35" s="16">
        <v>0</v>
      </c>
      <c r="N35" s="16">
        <v>7529.78</v>
      </c>
      <c r="O35" s="31">
        <f t="shared" si="0"/>
        <v>6723.017857142856</v>
      </c>
      <c r="P35" s="31"/>
      <c r="Q35" s="36">
        <v>0.01</v>
      </c>
      <c r="R35" s="14"/>
      <c r="S35" s="16">
        <v>806.76214285714263</v>
      </c>
      <c r="T35" s="16">
        <v>-67.230178571428567</v>
      </c>
      <c r="U35" s="16"/>
      <c r="V35" s="16"/>
      <c r="W35" s="16"/>
      <c r="X35" s="16"/>
      <c r="Y35" s="16"/>
      <c r="Z35" s="16"/>
      <c r="AA35" s="16">
        <v>6723.017857142856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-7462.5498214285699</v>
      </c>
      <c r="AV35" s="105"/>
      <c r="AW35" s="17"/>
      <c r="AX35" s="14"/>
      <c r="AY35" s="14"/>
    </row>
    <row r="36" spans="1:51">
      <c r="A36" s="17">
        <v>43388</v>
      </c>
      <c r="B36" s="14" t="s">
        <v>490</v>
      </c>
      <c r="C36" s="15">
        <v>69554</v>
      </c>
      <c r="D36" s="15"/>
      <c r="E36" s="15">
        <v>11488</v>
      </c>
      <c r="F36" s="15">
        <v>1919</v>
      </c>
      <c r="G36" s="14" t="s">
        <v>391</v>
      </c>
      <c r="H36" s="14" t="s">
        <v>392</v>
      </c>
      <c r="I36" s="14" t="s">
        <v>417</v>
      </c>
      <c r="J36" s="14"/>
      <c r="K36" s="14"/>
      <c r="L36" s="14"/>
      <c r="M36" s="16">
        <v>5165</v>
      </c>
      <c r="N36" s="16">
        <v>0</v>
      </c>
      <c r="O36" s="31">
        <f t="shared" si="0"/>
        <v>5165</v>
      </c>
      <c r="P36" s="31"/>
      <c r="Q36" s="36">
        <v>0.01</v>
      </c>
      <c r="R36" s="14"/>
      <c r="S36" s="16">
        <v>0</v>
      </c>
      <c r="T36" s="16">
        <v>-51.65</v>
      </c>
      <c r="U36" s="16"/>
      <c r="V36" s="16"/>
      <c r="W36" s="16"/>
      <c r="X36" s="16"/>
      <c r="Y36" s="16"/>
      <c r="Z36" s="16"/>
      <c r="AA36" s="16">
        <v>5165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-5113.3500000000004</v>
      </c>
      <c r="AV36" s="105"/>
      <c r="AW36" s="17"/>
      <c r="AX36" s="14"/>
      <c r="AY36" s="14"/>
    </row>
    <row r="37" spans="1:51">
      <c r="A37" s="17"/>
      <c r="B37" s="14" t="s">
        <v>491</v>
      </c>
      <c r="C37" s="15">
        <v>69555</v>
      </c>
      <c r="D37" s="15"/>
      <c r="E37" s="15">
        <v>11489</v>
      </c>
      <c r="F37" s="15">
        <v>1920</v>
      </c>
      <c r="G37" s="14" t="s">
        <v>391</v>
      </c>
      <c r="H37" s="14" t="s">
        <v>392</v>
      </c>
      <c r="I37" s="14" t="s">
        <v>419</v>
      </c>
      <c r="J37" s="14"/>
      <c r="K37" s="14"/>
      <c r="L37" s="14"/>
      <c r="M37" s="16">
        <v>1966.75</v>
      </c>
      <c r="N37" s="16">
        <v>0</v>
      </c>
      <c r="O37" s="31">
        <f t="shared" si="0"/>
        <v>1966.75</v>
      </c>
      <c r="P37" s="31"/>
      <c r="Q37" s="36">
        <v>0.01</v>
      </c>
      <c r="R37" s="14"/>
      <c r="S37" s="16">
        <v>0</v>
      </c>
      <c r="T37" s="16">
        <v>-19.6675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>
        <v>1966.75</v>
      </c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-1947.0825</v>
      </c>
      <c r="AV37" s="105"/>
      <c r="AW37" s="17"/>
      <c r="AX37" s="14"/>
      <c r="AY37" s="14"/>
    </row>
    <row r="38" spans="1:51">
      <c r="A38" s="17"/>
      <c r="B38" s="14" t="s">
        <v>492</v>
      </c>
      <c r="C38" s="15">
        <v>9303</v>
      </c>
      <c r="D38" s="15"/>
      <c r="E38" s="15">
        <v>11490</v>
      </c>
      <c r="F38" s="15">
        <v>1921</v>
      </c>
      <c r="G38" s="14" t="s">
        <v>412</v>
      </c>
      <c r="H38" s="14" t="s">
        <v>413</v>
      </c>
      <c r="I38" s="14" t="s">
        <v>419</v>
      </c>
      <c r="J38" s="14"/>
      <c r="K38" s="14"/>
      <c r="L38" s="14"/>
      <c r="M38" s="16">
        <v>417.8</v>
      </c>
      <c r="N38" s="16">
        <v>0</v>
      </c>
      <c r="O38" s="31">
        <f t="shared" si="0"/>
        <v>417.8</v>
      </c>
      <c r="P38" s="31"/>
      <c r="Q38" s="36">
        <v>0.01</v>
      </c>
      <c r="R38" s="14"/>
      <c r="S38" s="16">
        <v>0</v>
      </c>
      <c r="T38" s="16">
        <v>-4.1779999999999999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>
        <v>417.8</v>
      </c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-413.62200000000001</v>
      </c>
      <c r="AV38" s="105"/>
      <c r="AW38" s="17"/>
      <c r="AX38" s="14"/>
      <c r="AY38" s="14"/>
    </row>
    <row r="39" spans="1:51">
      <c r="A39" s="17"/>
      <c r="B39" s="14" t="s">
        <v>493</v>
      </c>
      <c r="C39" s="15">
        <v>9303</v>
      </c>
      <c r="D39" s="15"/>
      <c r="E39" s="15">
        <v>11490</v>
      </c>
      <c r="F39" s="15">
        <v>1921</v>
      </c>
      <c r="G39" s="14" t="s">
        <v>412</v>
      </c>
      <c r="H39" s="14" t="s">
        <v>413</v>
      </c>
      <c r="I39" s="14" t="s">
        <v>417</v>
      </c>
      <c r="J39" s="14"/>
      <c r="K39" s="14"/>
      <c r="L39" s="14"/>
      <c r="M39" s="16">
        <v>4483</v>
      </c>
      <c r="N39" s="16">
        <v>0</v>
      </c>
      <c r="O39" s="31">
        <f t="shared" si="0"/>
        <v>4483</v>
      </c>
      <c r="P39" s="31"/>
      <c r="Q39" s="36">
        <v>0.01</v>
      </c>
      <c r="R39" s="14"/>
      <c r="S39" s="16">
        <v>0</v>
      </c>
      <c r="T39" s="16">
        <v>-44.83</v>
      </c>
      <c r="U39" s="16"/>
      <c r="V39" s="16"/>
      <c r="W39" s="16"/>
      <c r="X39" s="16"/>
      <c r="Y39" s="16"/>
      <c r="Z39" s="16"/>
      <c r="AA39" s="16">
        <v>4483</v>
      </c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>
        <f t="shared" si="1"/>
        <v>-4438.17</v>
      </c>
      <c r="AV39" s="105"/>
      <c r="AW39" s="17"/>
      <c r="AX39" s="14"/>
      <c r="AY39" s="14"/>
    </row>
    <row r="40" spans="1:51">
      <c r="A40" s="17">
        <v>43389</v>
      </c>
      <c r="B40" s="14" t="s">
        <v>494</v>
      </c>
      <c r="C40" s="15">
        <v>143076</v>
      </c>
      <c r="D40" s="15"/>
      <c r="E40" s="15">
        <v>11492</v>
      </c>
      <c r="F40" s="15">
        <v>1925</v>
      </c>
      <c r="G40" s="14" t="s">
        <v>389</v>
      </c>
      <c r="H40" s="14" t="s">
        <v>390</v>
      </c>
      <c r="I40" s="14" t="s">
        <v>417</v>
      </c>
      <c r="J40" s="14"/>
      <c r="K40" s="14"/>
      <c r="L40" s="14"/>
      <c r="M40" s="16">
        <v>3200</v>
      </c>
      <c r="N40" s="16">
        <v>0</v>
      </c>
      <c r="O40" s="31">
        <f t="shared" si="0"/>
        <v>3200</v>
      </c>
      <c r="P40" s="31"/>
      <c r="Q40" s="36">
        <v>0.01</v>
      </c>
      <c r="R40" s="14"/>
      <c r="S40" s="16">
        <v>0</v>
      </c>
      <c r="T40" s="16">
        <v>-32</v>
      </c>
      <c r="U40" s="16"/>
      <c r="V40" s="16"/>
      <c r="W40" s="16"/>
      <c r="X40" s="16"/>
      <c r="Y40" s="16"/>
      <c r="Z40" s="16"/>
      <c r="AA40" s="16">
        <v>3200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>
        <f t="shared" si="1"/>
        <v>-3168</v>
      </c>
      <c r="AV40" s="105"/>
      <c r="AW40" s="17"/>
      <c r="AX40" s="14"/>
      <c r="AY40" s="14"/>
    </row>
    <row r="41" spans="1:51">
      <c r="A41" s="17"/>
      <c r="B41" s="14" t="s">
        <v>495</v>
      </c>
      <c r="C41" s="15">
        <v>74769</v>
      </c>
      <c r="D41" s="15"/>
      <c r="E41" s="15">
        <v>11493</v>
      </c>
      <c r="F41" s="15">
        <v>1914</v>
      </c>
      <c r="G41" s="14" t="s">
        <v>403</v>
      </c>
      <c r="H41" s="14" t="s">
        <v>404</v>
      </c>
      <c r="I41" s="14" t="s">
        <v>146</v>
      </c>
      <c r="J41" s="14"/>
      <c r="K41" s="14"/>
      <c r="L41" s="14"/>
      <c r="M41" s="16">
        <v>0</v>
      </c>
      <c r="N41" s="16">
        <v>981.31</v>
      </c>
      <c r="O41" s="31">
        <f t="shared" si="0"/>
        <v>876.16964285714278</v>
      </c>
      <c r="P41" s="31"/>
      <c r="Q41" s="36">
        <v>0.01</v>
      </c>
      <c r="R41" s="14"/>
      <c r="S41" s="16">
        <v>105.14035714285713</v>
      </c>
      <c r="T41" s="16">
        <v>-8.7616964285714278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>
        <v>876.16964285714278</v>
      </c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-972.54830357142851</v>
      </c>
      <c r="AV41" s="105"/>
      <c r="AW41" s="17"/>
      <c r="AX41" s="14"/>
      <c r="AY41" s="14"/>
    </row>
    <row r="42" spans="1:51">
      <c r="A42" s="17"/>
      <c r="B42" s="14" t="s">
        <v>496</v>
      </c>
      <c r="C42" s="15">
        <v>83359</v>
      </c>
      <c r="D42" s="15"/>
      <c r="E42" s="15">
        <v>11494</v>
      </c>
      <c r="F42" s="15">
        <v>1872</v>
      </c>
      <c r="G42" s="14" t="s">
        <v>766</v>
      </c>
      <c r="H42" s="14" t="s">
        <v>767</v>
      </c>
      <c r="I42" s="14" t="s">
        <v>417</v>
      </c>
      <c r="J42" s="14"/>
      <c r="K42" s="14"/>
      <c r="L42" s="14"/>
      <c r="M42" s="16">
        <v>0</v>
      </c>
      <c r="N42" s="16">
        <v>1043</v>
      </c>
      <c r="O42" s="31">
        <f t="shared" si="0"/>
        <v>931.24999999999989</v>
      </c>
      <c r="P42" s="31"/>
      <c r="Q42" s="36">
        <v>0.01</v>
      </c>
      <c r="R42" s="14"/>
      <c r="S42" s="16">
        <v>111.74999999999999</v>
      </c>
      <c r="T42" s="16">
        <v>-9.3124999999999982</v>
      </c>
      <c r="U42" s="16"/>
      <c r="V42" s="16"/>
      <c r="W42" s="16"/>
      <c r="X42" s="16"/>
      <c r="Y42" s="16"/>
      <c r="Z42" s="16"/>
      <c r="AA42" s="16">
        <v>931.24999999999989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>
        <f t="shared" si="1"/>
        <v>-1033.6874999999998</v>
      </c>
      <c r="AV42" s="105"/>
      <c r="AW42" s="17"/>
      <c r="AX42" s="14"/>
      <c r="AY42" s="14"/>
    </row>
    <row r="43" spans="1:51">
      <c r="A43" s="17"/>
      <c r="B43" s="14" t="s">
        <v>497</v>
      </c>
      <c r="C43" s="15">
        <v>69559</v>
      </c>
      <c r="D43" s="15"/>
      <c r="E43" s="15">
        <v>11495</v>
      </c>
      <c r="F43" s="15">
        <v>1926</v>
      </c>
      <c r="G43" s="14" t="s">
        <v>391</v>
      </c>
      <c r="H43" s="14" t="s">
        <v>392</v>
      </c>
      <c r="I43" s="14" t="s">
        <v>417</v>
      </c>
      <c r="J43" s="14"/>
      <c r="K43" s="14"/>
      <c r="L43" s="14"/>
      <c r="M43" s="16">
        <v>2396</v>
      </c>
      <c r="N43" s="16">
        <v>0</v>
      </c>
      <c r="O43" s="31">
        <f t="shared" si="0"/>
        <v>2396</v>
      </c>
      <c r="P43" s="31"/>
      <c r="Q43" s="36">
        <v>0.01</v>
      </c>
      <c r="R43" s="14"/>
      <c r="S43" s="16">
        <v>0</v>
      </c>
      <c r="T43" s="16">
        <v>-23.96</v>
      </c>
      <c r="U43" s="16"/>
      <c r="V43" s="16"/>
      <c r="W43" s="16"/>
      <c r="X43" s="16"/>
      <c r="Y43" s="16"/>
      <c r="Z43" s="16"/>
      <c r="AA43" s="16">
        <v>2396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-2372.04</v>
      </c>
      <c r="AV43" s="105"/>
      <c r="AW43" s="17"/>
      <c r="AX43" s="14"/>
      <c r="AY43" s="14"/>
    </row>
    <row r="44" spans="1:51">
      <c r="A44" s="17">
        <v>43390</v>
      </c>
      <c r="B44" s="14" t="s">
        <v>498</v>
      </c>
      <c r="C44" s="15">
        <v>860420</v>
      </c>
      <c r="D44" s="15"/>
      <c r="E44" s="15">
        <v>11496</v>
      </c>
      <c r="F44" s="15">
        <v>1924</v>
      </c>
      <c r="G44" s="14" t="s">
        <v>411</v>
      </c>
      <c r="H44" s="14">
        <v>11</v>
      </c>
      <c r="I44" s="14" t="s">
        <v>417</v>
      </c>
      <c r="J44" s="14"/>
      <c r="K44" s="14"/>
      <c r="L44" s="14"/>
      <c r="M44" s="16">
        <v>0</v>
      </c>
      <c r="N44" s="16">
        <v>4560</v>
      </c>
      <c r="O44" s="31">
        <f t="shared" si="0"/>
        <v>4071.4285714285711</v>
      </c>
      <c r="P44" s="31"/>
      <c r="Q44" s="36">
        <v>0.01</v>
      </c>
      <c r="R44" s="14"/>
      <c r="S44" s="16">
        <v>488.5714285714285</v>
      </c>
      <c r="T44" s="16">
        <v>-40.714285714285715</v>
      </c>
      <c r="U44" s="16"/>
      <c r="V44" s="16"/>
      <c r="W44" s="16"/>
      <c r="X44" s="16"/>
      <c r="Y44" s="16"/>
      <c r="Z44" s="16"/>
      <c r="AA44" s="16">
        <v>4071.4285714285711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>
        <f t="shared" si="1"/>
        <v>-4519.2857142857138</v>
      </c>
      <c r="AV44" s="105"/>
      <c r="AW44" s="17"/>
      <c r="AX44" s="14"/>
      <c r="AY44" s="14"/>
    </row>
    <row r="45" spans="1:51">
      <c r="A45" s="17"/>
      <c r="B45" s="14" t="s">
        <v>499</v>
      </c>
      <c r="C45" s="15">
        <v>30657</v>
      </c>
      <c r="D45" s="15"/>
      <c r="E45" s="15">
        <v>11497</v>
      </c>
      <c r="F45" s="15">
        <v>1923</v>
      </c>
      <c r="G45" s="14" t="s">
        <v>394</v>
      </c>
      <c r="H45" s="14" t="s">
        <v>395</v>
      </c>
      <c r="I45" s="14" t="s">
        <v>418</v>
      </c>
      <c r="J45" s="14"/>
      <c r="K45" s="14"/>
      <c r="L45" s="14"/>
      <c r="M45" s="16">
        <v>0</v>
      </c>
      <c r="N45" s="16">
        <v>4465</v>
      </c>
      <c r="O45" s="31">
        <f t="shared" si="0"/>
        <v>3986.6071428571427</v>
      </c>
      <c r="P45" s="31"/>
      <c r="Q45" s="36">
        <v>0.01</v>
      </c>
      <c r="R45" s="14"/>
      <c r="S45" s="16">
        <v>478.39285714285711</v>
      </c>
      <c r="T45" s="16">
        <v>-39.866071428571431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>
        <v>3986.6071428571427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-4425.1339285714284</v>
      </c>
      <c r="AV45" s="105"/>
      <c r="AW45" s="17"/>
      <c r="AX45" s="14"/>
      <c r="AY45" s="14"/>
    </row>
    <row r="46" spans="1:51">
      <c r="A46" s="17">
        <v>43392</v>
      </c>
      <c r="B46" s="14" t="s">
        <v>500</v>
      </c>
      <c r="C46" s="15">
        <v>1109</v>
      </c>
      <c r="D46" s="15"/>
      <c r="E46" s="15">
        <v>11498</v>
      </c>
      <c r="F46" s="15">
        <v>1928</v>
      </c>
      <c r="G46" s="14" t="s">
        <v>761</v>
      </c>
      <c r="H46" s="14" t="s">
        <v>393</v>
      </c>
      <c r="I46" s="14" t="s">
        <v>417</v>
      </c>
      <c r="J46" s="14"/>
      <c r="K46" s="14"/>
      <c r="L46" s="14"/>
      <c r="M46" s="16">
        <v>1060</v>
      </c>
      <c r="N46" s="16">
        <v>0</v>
      </c>
      <c r="O46" s="31">
        <f t="shared" si="0"/>
        <v>1060</v>
      </c>
      <c r="P46" s="31"/>
      <c r="Q46" s="36">
        <v>0.01</v>
      </c>
      <c r="R46" s="14"/>
      <c r="S46" s="16">
        <v>0</v>
      </c>
      <c r="T46" s="16">
        <v>-10.6</v>
      </c>
      <c r="U46" s="16"/>
      <c r="V46" s="16"/>
      <c r="W46" s="16"/>
      <c r="X46" s="16"/>
      <c r="Y46" s="16"/>
      <c r="Z46" s="16"/>
      <c r="AA46" s="16">
        <v>1060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-1049.4000000000001</v>
      </c>
      <c r="AV46" s="105"/>
      <c r="AW46" s="17"/>
      <c r="AX46" s="14"/>
      <c r="AY46" s="14"/>
    </row>
    <row r="47" spans="1:51">
      <c r="A47" s="17">
        <v>43393</v>
      </c>
      <c r="B47" s="14" t="s">
        <v>501</v>
      </c>
      <c r="C47" s="15">
        <v>231255</v>
      </c>
      <c r="D47" s="15"/>
      <c r="E47" s="15">
        <v>11499</v>
      </c>
      <c r="F47" s="15">
        <v>1929</v>
      </c>
      <c r="G47" s="14" t="s">
        <v>402</v>
      </c>
      <c r="H47" s="14">
        <v>139564</v>
      </c>
      <c r="I47" s="14" t="s">
        <v>420</v>
      </c>
      <c r="J47" s="14"/>
      <c r="K47" s="14"/>
      <c r="L47" s="14"/>
      <c r="M47" s="16">
        <v>0</v>
      </c>
      <c r="N47" s="16">
        <v>2922.24</v>
      </c>
      <c r="O47" s="31">
        <f t="shared" si="0"/>
        <v>2609.1428571428569</v>
      </c>
      <c r="P47" s="31"/>
      <c r="Q47" s="36">
        <v>0.01</v>
      </c>
      <c r="R47" s="14"/>
      <c r="S47" s="16">
        <v>313.09714285714284</v>
      </c>
      <c r="T47" s="16">
        <v>-26.091428571428569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>
        <v>2609.1428571428569</v>
      </c>
      <c r="AU47" s="16">
        <f t="shared" si="1"/>
        <v>-2896.1485714285709</v>
      </c>
      <c r="AV47" s="105"/>
      <c r="AW47" s="17"/>
      <c r="AX47" s="14"/>
      <c r="AY47" s="14"/>
    </row>
    <row r="48" spans="1:51">
      <c r="A48" s="17">
        <v>43395</v>
      </c>
      <c r="B48" s="14" t="s">
        <v>502</v>
      </c>
      <c r="C48" s="15">
        <v>8776</v>
      </c>
      <c r="D48" s="15"/>
      <c r="E48" s="15">
        <v>11500</v>
      </c>
      <c r="F48" s="15">
        <v>1932</v>
      </c>
      <c r="G48" s="14" t="s">
        <v>412</v>
      </c>
      <c r="H48" s="14" t="s">
        <v>413</v>
      </c>
      <c r="I48" s="14" t="s">
        <v>419</v>
      </c>
      <c r="J48" s="14"/>
      <c r="K48" s="14"/>
      <c r="L48" s="14"/>
      <c r="M48" s="16">
        <v>492.3</v>
      </c>
      <c r="N48" s="16">
        <v>0</v>
      </c>
      <c r="O48" s="31">
        <f t="shared" si="0"/>
        <v>492.3</v>
      </c>
      <c r="P48" s="31"/>
      <c r="Q48" s="36">
        <v>0.01</v>
      </c>
      <c r="R48" s="14"/>
      <c r="S48" s="16">
        <v>0</v>
      </c>
      <c r="T48" s="16">
        <v>-4.923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>
        <v>492.3</v>
      </c>
      <c r="AL48" s="16"/>
      <c r="AM48" s="16"/>
      <c r="AN48" s="16"/>
      <c r="AO48" s="16"/>
      <c r="AP48" s="16"/>
      <c r="AQ48" s="16"/>
      <c r="AR48" s="16"/>
      <c r="AS48" s="16"/>
      <c r="AU48" s="16">
        <f t="shared" si="1"/>
        <v>-487.37700000000001</v>
      </c>
      <c r="AV48" s="105"/>
      <c r="AW48" s="17"/>
      <c r="AX48" s="14"/>
      <c r="AY48" s="14"/>
    </row>
    <row r="49" spans="1:51">
      <c r="A49" s="17"/>
      <c r="B49" s="14" t="s">
        <v>503</v>
      </c>
      <c r="C49" s="15">
        <v>8776</v>
      </c>
      <c r="D49" s="15"/>
      <c r="E49" s="15">
        <v>11500</v>
      </c>
      <c r="F49" s="15">
        <v>1932</v>
      </c>
      <c r="G49" s="14" t="s">
        <v>412</v>
      </c>
      <c r="H49" s="14" t="s">
        <v>413</v>
      </c>
      <c r="I49" s="14" t="s">
        <v>417</v>
      </c>
      <c r="J49" s="14"/>
      <c r="K49" s="14"/>
      <c r="L49" s="14"/>
      <c r="M49" s="16">
        <v>3533.4</v>
      </c>
      <c r="N49" s="16">
        <v>0</v>
      </c>
      <c r="O49" s="31">
        <f t="shared" si="0"/>
        <v>3533.4</v>
      </c>
      <c r="P49" s="31"/>
      <c r="Q49" s="36">
        <v>0.01</v>
      </c>
      <c r="R49" s="14"/>
      <c r="S49" s="16">
        <v>0</v>
      </c>
      <c r="T49" s="16">
        <v>-35.334000000000003</v>
      </c>
      <c r="U49" s="16"/>
      <c r="V49" s="16"/>
      <c r="W49" s="16"/>
      <c r="X49" s="16"/>
      <c r="Y49" s="16"/>
      <c r="Z49" s="16"/>
      <c r="AA49" s="16">
        <v>3533.4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-3498.0660000000003</v>
      </c>
      <c r="AV49" s="105"/>
      <c r="AW49" s="17"/>
      <c r="AX49" s="14"/>
      <c r="AY49" s="14"/>
    </row>
    <row r="50" spans="1:51">
      <c r="A50" s="17"/>
      <c r="B50" s="14" t="s">
        <v>504</v>
      </c>
      <c r="C50" s="15">
        <v>176921</v>
      </c>
      <c r="D50" s="15"/>
      <c r="E50" s="15">
        <v>11503</v>
      </c>
      <c r="F50" s="15">
        <v>1927</v>
      </c>
      <c r="G50" s="14" t="s">
        <v>445</v>
      </c>
      <c r="H50" s="14" t="s">
        <v>447</v>
      </c>
      <c r="I50" s="14" t="s">
        <v>416</v>
      </c>
      <c r="J50" s="14"/>
      <c r="K50" s="14"/>
      <c r="L50" s="14"/>
      <c r="M50" s="16">
        <v>0</v>
      </c>
      <c r="N50" s="16">
        <v>2989.2</v>
      </c>
      <c r="O50" s="31">
        <f t="shared" si="0"/>
        <v>2668.9285714285711</v>
      </c>
      <c r="P50" s="31"/>
      <c r="Q50" s="36">
        <v>0.01</v>
      </c>
      <c r="R50" s="14"/>
      <c r="S50" s="16">
        <v>320.27142857142854</v>
      </c>
      <c r="T50" s="16">
        <v>-26.689285714285713</v>
      </c>
      <c r="U50" s="16"/>
      <c r="V50" s="16"/>
      <c r="W50" s="16"/>
      <c r="X50" s="16"/>
      <c r="Y50" s="16"/>
      <c r="Z50" s="16"/>
      <c r="AA50" s="16"/>
      <c r="AB50" s="16">
        <v>2668.9285714285711</v>
      </c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-2962.5107142857141</v>
      </c>
      <c r="AV50" s="105"/>
      <c r="AW50" s="17"/>
      <c r="AX50" s="14"/>
      <c r="AY50" s="14"/>
    </row>
    <row r="51" spans="1:51">
      <c r="A51" s="17"/>
      <c r="B51" s="14" t="s">
        <v>505</v>
      </c>
      <c r="C51" s="15">
        <v>89741</v>
      </c>
      <c r="D51" s="15"/>
      <c r="E51" s="15">
        <v>11504</v>
      </c>
      <c r="F51" s="15">
        <v>1935</v>
      </c>
      <c r="G51" s="14" t="s">
        <v>768</v>
      </c>
      <c r="H51" s="14" t="s">
        <v>769</v>
      </c>
      <c r="I51" s="14" t="s">
        <v>416</v>
      </c>
      <c r="J51" s="14"/>
      <c r="K51" s="14"/>
      <c r="L51" s="14"/>
      <c r="M51" s="16">
        <v>0</v>
      </c>
      <c r="N51" s="16">
        <v>2514.5</v>
      </c>
      <c r="O51" s="31">
        <f t="shared" si="0"/>
        <v>2245.0892857142853</v>
      </c>
      <c r="P51" s="31"/>
      <c r="Q51" s="36">
        <v>0.01</v>
      </c>
      <c r="R51" s="14"/>
      <c r="S51" s="16">
        <v>269.41071428571422</v>
      </c>
      <c r="T51" s="16">
        <v>-22.450892857142854</v>
      </c>
      <c r="U51" s="16"/>
      <c r="V51" s="16"/>
      <c r="W51" s="16"/>
      <c r="X51" s="16"/>
      <c r="Y51" s="16"/>
      <c r="Z51" s="16"/>
      <c r="AA51" s="16"/>
      <c r="AB51" s="16">
        <v>2245.0892857142853</v>
      </c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-2492.0491071428569</v>
      </c>
      <c r="AV51" s="105"/>
      <c r="AW51" s="17"/>
      <c r="AX51" s="14"/>
      <c r="AY51" s="14"/>
    </row>
    <row r="52" spans="1:51">
      <c r="A52" s="17"/>
      <c r="B52" s="14" t="s">
        <v>506</v>
      </c>
      <c r="C52" s="15">
        <v>141725</v>
      </c>
      <c r="D52" s="15"/>
      <c r="E52" s="15">
        <v>11505</v>
      </c>
      <c r="F52" s="15">
        <v>1936</v>
      </c>
      <c r="G52" s="14" t="s">
        <v>389</v>
      </c>
      <c r="H52" s="14" t="s">
        <v>390</v>
      </c>
      <c r="I52" s="14" t="s">
        <v>417</v>
      </c>
      <c r="J52" s="14"/>
      <c r="K52" s="14"/>
      <c r="L52" s="14"/>
      <c r="M52" s="16">
        <v>3200</v>
      </c>
      <c r="N52" s="16">
        <v>0</v>
      </c>
      <c r="O52" s="31">
        <f t="shared" si="0"/>
        <v>3200</v>
      </c>
      <c r="P52" s="31"/>
      <c r="Q52" s="36">
        <v>0.01</v>
      </c>
      <c r="R52" s="14"/>
      <c r="S52" s="16">
        <v>0</v>
      </c>
      <c r="T52" s="16">
        <v>-32</v>
      </c>
      <c r="U52" s="16"/>
      <c r="V52" s="16"/>
      <c r="W52" s="16"/>
      <c r="X52" s="16"/>
      <c r="Y52" s="16"/>
      <c r="Z52" s="16"/>
      <c r="AA52" s="16">
        <v>3200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>
        <f t="shared" si="1"/>
        <v>-3168</v>
      </c>
      <c r="AV52" s="105"/>
      <c r="AW52" s="17"/>
      <c r="AX52" s="14"/>
      <c r="AY52" s="14"/>
    </row>
    <row r="53" spans="1:51">
      <c r="A53" s="17"/>
      <c r="B53" s="14" t="s">
        <v>507</v>
      </c>
      <c r="C53" s="15">
        <v>30687</v>
      </c>
      <c r="D53" s="15"/>
      <c r="E53" s="15">
        <v>11507</v>
      </c>
      <c r="F53" s="15">
        <v>1938</v>
      </c>
      <c r="G53" s="14" t="s">
        <v>394</v>
      </c>
      <c r="H53" s="14" t="s">
        <v>395</v>
      </c>
      <c r="I53" s="14" t="s">
        <v>143</v>
      </c>
      <c r="J53" s="14"/>
      <c r="K53" s="14"/>
      <c r="L53" s="14"/>
      <c r="M53" s="16">
        <v>0</v>
      </c>
      <c r="N53" s="16">
        <v>1695</v>
      </c>
      <c r="O53" s="31">
        <f t="shared" si="0"/>
        <v>1513.3928571428571</v>
      </c>
      <c r="P53" s="31"/>
      <c r="Q53" s="36">
        <v>0.01</v>
      </c>
      <c r="R53" s="14"/>
      <c r="S53" s="16">
        <v>181.60714285714283</v>
      </c>
      <c r="T53" s="16">
        <v>-15.133928571428571</v>
      </c>
      <c r="U53" s="16"/>
      <c r="V53" s="16"/>
      <c r="W53" s="16"/>
      <c r="X53" s="16"/>
      <c r="Y53" s="16"/>
      <c r="Z53" s="16"/>
      <c r="AA53" s="16"/>
      <c r="AB53" s="16"/>
      <c r="AC53" s="16"/>
      <c r="AD53" s="16">
        <v>1513.3928571428571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-1679.8660714285713</v>
      </c>
      <c r="AV53" s="105"/>
      <c r="AW53" s="17"/>
      <c r="AX53" s="14"/>
      <c r="AY53" s="14"/>
    </row>
    <row r="54" spans="1:51">
      <c r="A54" s="17"/>
      <c r="B54" s="14" t="s">
        <v>508</v>
      </c>
      <c r="C54" s="15">
        <v>30687</v>
      </c>
      <c r="D54" s="15"/>
      <c r="E54" s="15">
        <v>11507</v>
      </c>
      <c r="F54" s="15">
        <v>1938</v>
      </c>
      <c r="G54" s="14" t="s">
        <v>394</v>
      </c>
      <c r="H54" s="14" t="s">
        <v>395</v>
      </c>
      <c r="I54" s="14" t="s">
        <v>418</v>
      </c>
      <c r="J54" s="14"/>
      <c r="K54" s="14"/>
      <c r="L54" s="14"/>
      <c r="M54" s="16">
        <v>0</v>
      </c>
      <c r="N54" s="16">
        <v>1896</v>
      </c>
      <c r="O54" s="31">
        <f t="shared" si="0"/>
        <v>1692.8571428571427</v>
      </c>
      <c r="P54" s="31"/>
      <c r="Q54" s="36">
        <v>0.01</v>
      </c>
      <c r="R54" s="14"/>
      <c r="S54" s="16">
        <v>203.14285714285711</v>
      </c>
      <c r="T54" s="16">
        <v>-16.928571428571427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>
        <v>1692.8571428571427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-1879.0714285714284</v>
      </c>
      <c r="AV54" s="105"/>
      <c r="AW54" s="17"/>
      <c r="AX54" s="14"/>
      <c r="AY54" s="14"/>
    </row>
    <row r="55" spans="1:51">
      <c r="A55" s="17"/>
      <c r="B55" s="14" t="s">
        <v>509</v>
      </c>
      <c r="C55" s="15">
        <v>69565</v>
      </c>
      <c r="D55" s="15"/>
      <c r="E55" s="15">
        <v>11508</v>
      </c>
      <c r="F55" s="15">
        <v>1939</v>
      </c>
      <c r="G55" s="14" t="s">
        <v>391</v>
      </c>
      <c r="H55" s="14" t="s">
        <v>392</v>
      </c>
      <c r="I55" s="14" t="s">
        <v>417</v>
      </c>
      <c r="J55" s="14"/>
      <c r="K55" s="14"/>
      <c r="L55" s="14"/>
      <c r="M55" s="16">
        <v>3400</v>
      </c>
      <c r="N55" s="16">
        <v>0</v>
      </c>
      <c r="O55" s="31">
        <f t="shared" si="0"/>
        <v>3400</v>
      </c>
      <c r="P55" s="31"/>
      <c r="Q55" s="36">
        <v>0.01</v>
      </c>
      <c r="R55" s="14"/>
      <c r="S55" s="16">
        <v>0</v>
      </c>
      <c r="T55" s="16">
        <v>-34</v>
      </c>
      <c r="U55" s="16"/>
      <c r="V55" s="16"/>
      <c r="W55" s="16"/>
      <c r="X55" s="16"/>
      <c r="Y55" s="16"/>
      <c r="Z55" s="16"/>
      <c r="AA55" s="16">
        <v>3400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-3366</v>
      </c>
      <c r="AV55" s="105"/>
      <c r="AW55" s="17"/>
      <c r="AX55" s="14"/>
      <c r="AY55" s="14"/>
    </row>
    <row r="56" spans="1:51">
      <c r="A56" s="17"/>
      <c r="B56" s="14" t="s">
        <v>510</v>
      </c>
      <c r="C56" s="15">
        <v>69566</v>
      </c>
      <c r="D56" s="15"/>
      <c r="E56" s="15">
        <v>11509</v>
      </c>
      <c r="F56" s="15">
        <v>1940</v>
      </c>
      <c r="G56" s="14" t="s">
        <v>391</v>
      </c>
      <c r="H56" s="14" t="s">
        <v>392</v>
      </c>
      <c r="I56" s="14" t="s">
        <v>419</v>
      </c>
      <c r="J56" s="14"/>
      <c r="K56" s="14"/>
      <c r="L56" s="14"/>
      <c r="M56" s="16">
        <v>1618</v>
      </c>
      <c r="N56" s="16">
        <v>0</v>
      </c>
      <c r="O56" s="31">
        <f t="shared" si="0"/>
        <v>1618</v>
      </c>
      <c r="P56" s="31"/>
      <c r="Q56" s="36">
        <v>0.01</v>
      </c>
      <c r="R56" s="14"/>
      <c r="S56" s="16">
        <v>0</v>
      </c>
      <c r="T56" s="16">
        <v>-16.18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>
        <v>1618</v>
      </c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-1601.82</v>
      </c>
      <c r="AV56" s="105"/>
      <c r="AW56" s="17"/>
      <c r="AX56" s="14"/>
      <c r="AY56" s="14"/>
    </row>
    <row r="57" spans="1:51">
      <c r="A57" s="17">
        <v>43396</v>
      </c>
      <c r="B57" s="14" t="s">
        <v>511</v>
      </c>
      <c r="C57" s="15">
        <v>141582</v>
      </c>
      <c r="D57" s="15"/>
      <c r="E57" s="15">
        <v>11506</v>
      </c>
      <c r="F57" s="15">
        <v>1937</v>
      </c>
      <c r="G57" s="14" t="s">
        <v>389</v>
      </c>
      <c r="H57" s="14" t="s">
        <v>390</v>
      </c>
      <c r="I57" s="14" t="s">
        <v>417</v>
      </c>
      <c r="J57" s="14"/>
      <c r="K57" s="14"/>
      <c r="L57" s="14"/>
      <c r="M57" s="16">
        <v>600</v>
      </c>
      <c r="N57" s="16">
        <v>0</v>
      </c>
      <c r="O57" s="31">
        <f t="shared" si="0"/>
        <v>600</v>
      </c>
      <c r="P57" s="31"/>
      <c r="Q57" s="36">
        <v>0.01</v>
      </c>
      <c r="R57" s="14"/>
      <c r="S57" s="16">
        <v>0</v>
      </c>
      <c r="T57" s="16">
        <v>-6</v>
      </c>
      <c r="U57" s="16"/>
      <c r="V57" s="16"/>
      <c r="W57" s="16"/>
      <c r="X57" s="16"/>
      <c r="Y57" s="16"/>
      <c r="Z57" s="16"/>
      <c r="AA57" s="16">
        <v>600</v>
      </c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-594</v>
      </c>
      <c r="AV57" s="105"/>
      <c r="AW57" s="17"/>
      <c r="AX57" s="14"/>
      <c r="AY57" s="14"/>
    </row>
    <row r="58" spans="1:51">
      <c r="A58" s="17">
        <v>43397</v>
      </c>
      <c r="B58" s="14" t="s">
        <v>512</v>
      </c>
      <c r="C58" s="15">
        <v>26700</v>
      </c>
      <c r="D58" s="15"/>
      <c r="E58" s="15">
        <v>11510</v>
      </c>
      <c r="F58" s="15">
        <v>1941</v>
      </c>
      <c r="G58" s="14" t="s">
        <v>770</v>
      </c>
      <c r="H58" s="14" t="s">
        <v>771</v>
      </c>
      <c r="I58" s="14" t="s">
        <v>417</v>
      </c>
      <c r="J58" s="14"/>
      <c r="K58" s="14"/>
      <c r="L58" s="14"/>
      <c r="M58" s="16">
        <v>550</v>
      </c>
      <c r="N58" s="16">
        <v>0</v>
      </c>
      <c r="O58" s="31">
        <f t="shared" si="0"/>
        <v>550</v>
      </c>
      <c r="P58" s="31"/>
      <c r="Q58" s="36">
        <v>0.01</v>
      </c>
      <c r="R58" s="14"/>
      <c r="S58" s="16">
        <v>0</v>
      </c>
      <c r="T58" s="16">
        <v>-5.5</v>
      </c>
      <c r="U58" s="16"/>
      <c r="V58" s="16"/>
      <c r="W58" s="16"/>
      <c r="X58" s="16"/>
      <c r="Y58" s="16"/>
      <c r="Z58" s="16"/>
      <c r="AA58" s="16">
        <v>550</v>
      </c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-544.5</v>
      </c>
      <c r="AV58" s="105"/>
      <c r="AW58" s="17"/>
      <c r="AX58" s="14"/>
      <c r="AY58" s="14"/>
    </row>
    <row r="59" spans="1:51">
      <c r="A59" s="17">
        <v>43398</v>
      </c>
      <c r="B59" s="14" t="s">
        <v>513</v>
      </c>
      <c r="C59" s="15">
        <v>9398</v>
      </c>
      <c r="D59" s="15"/>
      <c r="E59" s="15">
        <v>11502</v>
      </c>
      <c r="F59" s="15">
        <v>1934</v>
      </c>
      <c r="G59" s="14" t="s">
        <v>412</v>
      </c>
      <c r="H59" s="14" t="s">
        <v>413</v>
      </c>
      <c r="I59" s="14" t="s">
        <v>417</v>
      </c>
      <c r="J59" s="14"/>
      <c r="K59" s="14"/>
      <c r="L59" s="14"/>
      <c r="M59" s="16">
        <v>610</v>
      </c>
      <c r="N59" s="16">
        <v>0</v>
      </c>
      <c r="O59" s="31">
        <f t="shared" si="0"/>
        <v>610</v>
      </c>
      <c r="P59" s="31"/>
      <c r="Q59" s="36">
        <v>0.01</v>
      </c>
      <c r="R59" s="14"/>
      <c r="S59" s="16">
        <v>0</v>
      </c>
      <c r="T59" s="16">
        <v>-6.1000000000000005</v>
      </c>
      <c r="U59" s="16"/>
      <c r="V59" s="16"/>
      <c r="W59" s="16"/>
      <c r="X59" s="16"/>
      <c r="Y59" s="16"/>
      <c r="Z59" s="16"/>
      <c r="AA59" s="16">
        <v>610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-603.9</v>
      </c>
      <c r="AV59" s="105"/>
      <c r="AW59" s="17"/>
      <c r="AX59" s="14"/>
      <c r="AY59" s="14"/>
    </row>
    <row r="60" spans="1:51">
      <c r="A60" s="17">
        <v>43400</v>
      </c>
      <c r="B60" s="14" t="s">
        <v>514</v>
      </c>
      <c r="C60" s="15">
        <v>11057</v>
      </c>
      <c r="D60" s="15"/>
      <c r="E60" s="15">
        <v>11511</v>
      </c>
      <c r="F60" s="15">
        <v>1942</v>
      </c>
      <c r="G60" s="14" t="s">
        <v>444</v>
      </c>
      <c r="H60" s="14" t="s">
        <v>446</v>
      </c>
      <c r="I60" s="14" t="s">
        <v>417</v>
      </c>
      <c r="J60" s="14"/>
      <c r="K60" s="14"/>
      <c r="L60" s="14"/>
      <c r="M60" s="14">
        <v>0</v>
      </c>
      <c r="N60" s="31">
        <v>7800</v>
      </c>
      <c r="O60" s="31">
        <f t="shared" si="0"/>
        <v>6964.2857142857138</v>
      </c>
      <c r="P60" s="31"/>
      <c r="Q60" s="36">
        <v>0.01</v>
      </c>
      <c r="R60" s="14"/>
      <c r="S60" s="16">
        <v>835.71428571428567</v>
      </c>
      <c r="T60" s="16">
        <v>-69.642857142857139</v>
      </c>
      <c r="U60" s="16"/>
      <c r="V60" s="16"/>
      <c r="W60" s="16"/>
      <c r="X60" s="16"/>
      <c r="Y60" s="16"/>
      <c r="Z60" s="16"/>
      <c r="AA60" s="16">
        <v>6964.2857142857138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-7730.3571428571422</v>
      </c>
      <c r="AV60" s="105"/>
      <c r="AW60" s="17"/>
      <c r="AX60" s="14"/>
      <c r="AY60" s="14"/>
    </row>
    <row r="61" spans="1:51">
      <c r="A61" s="17">
        <v>43402</v>
      </c>
      <c r="B61" s="14" t="s">
        <v>515</v>
      </c>
      <c r="C61" s="15">
        <v>142382</v>
      </c>
      <c r="D61" s="15"/>
      <c r="E61" s="15">
        <v>11512</v>
      </c>
      <c r="F61" s="15">
        <v>1943</v>
      </c>
      <c r="G61" s="14" t="s">
        <v>389</v>
      </c>
      <c r="H61" s="14" t="s">
        <v>390</v>
      </c>
      <c r="I61" s="14" t="s">
        <v>417</v>
      </c>
      <c r="J61" s="14"/>
      <c r="K61" s="14"/>
      <c r="L61" s="14"/>
      <c r="M61" s="14">
        <v>2780</v>
      </c>
      <c r="N61" s="31">
        <v>0</v>
      </c>
      <c r="O61" s="31">
        <f t="shared" si="0"/>
        <v>2780</v>
      </c>
      <c r="P61" s="31"/>
      <c r="Q61" s="36">
        <v>0.01</v>
      </c>
      <c r="R61" s="14"/>
      <c r="S61" s="16">
        <v>0</v>
      </c>
      <c r="T61" s="16">
        <v>-27.8</v>
      </c>
      <c r="U61" s="16"/>
      <c r="V61" s="16"/>
      <c r="W61" s="16"/>
      <c r="X61" s="16"/>
      <c r="Y61" s="16"/>
      <c r="Z61" s="16"/>
      <c r="AA61" s="16">
        <v>2780</v>
      </c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-2752.2</v>
      </c>
      <c r="AV61" s="105"/>
      <c r="AW61" s="17"/>
      <c r="AX61" s="14"/>
      <c r="AY61" s="14"/>
    </row>
    <row r="62" spans="1:51">
      <c r="A62" s="17"/>
      <c r="B62" s="14" t="s">
        <v>516</v>
      </c>
      <c r="C62" s="15">
        <v>69573</v>
      </c>
      <c r="D62" s="15"/>
      <c r="E62" s="15">
        <v>11513</v>
      </c>
      <c r="F62" s="15">
        <v>1944</v>
      </c>
      <c r="G62" s="14" t="s">
        <v>391</v>
      </c>
      <c r="H62" s="14" t="s">
        <v>392</v>
      </c>
      <c r="I62" s="14" t="s">
        <v>417</v>
      </c>
      <c r="J62" s="14"/>
      <c r="K62" s="14"/>
      <c r="L62" s="14"/>
      <c r="M62" s="16">
        <v>8621</v>
      </c>
      <c r="N62" s="31">
        <v>0</v>
      </c>
      <c r="O62" s="31">
        <f t="shared" si="0"/>
        <v>8621</v>
      </c>
      <c r="P62" s="31"/>
      <c r="Q62" s="36">
        <v>0.01</v>
      </c>
      <c r="R62" s="14"/>
      <c r="S62" s="16">
        <v>0</v>
      </c>
      <c r="T62" s="16">
        <v>-86.210000000000008</v>
      </c>
      <c r="U62" s="16"/>
      <c r="V62" s="16"/>
      <c r="W62" s="16"/>
      <c r="X62" s="16"/>
      <c r="Y62" s="16"/>
      <c r="Z62" s="16"/>
      <c r="AA62" s="16">
        <v>8621</v>
      </c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-8534.7900000000009</v>
      </c>
      <c r="AV62" s="105"/>
      <c r="AW62" s="17"/>
      <c r="AX62" s="14"/>
      <c r="AY62" s="14"/>
    </row>
    <row r="63" spans="1:51">
      <c r="A63" s="17"/>
      <c r="B63" s="14" t="s">
        <v>517</v>
      </c>
      <c r="C63" s="15">
        <v>69574</v>
      </c>
      <c r="D63" s="15"/>
      <c r="E63" s="15">
        <v>11514</v>
      </c>
      <c r="F63" s="15">
        <v>1945</v>
      </c>
      <c r="G63" s="14" t="s">
        <v>391</v>
      </c>
      <c r="H63" s="14" t="s">
        <v>392</v>
      </c>
      <c r="I63" s="14" t="s">
        <v>419</v>
      </c>
      <c r="J63" s="14"/>
      <c r="K63" s="14"/>
      <c r="L63" s="14"/>
      <c r="M63" s="16">
        <v>970</v>
      </c>
      <c r="N63" s="31">
        <v>0</v>
      </c>
      <c r="O63" s="31">
        <f t="shared" si="0"/>
        <v>970</v>
      </c>
      <c r="P63" s="31"/>
      <c r="Q63" s="36">
        <v>0.01</v>
      </c>
      <c r="R63" s="14"/>
      <c r="S63" s="16">
        <v>0</v>
      </c>
      <c r="T63" s="16">
        <v>-9.7000000000000011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>
        <v>970</v>
      </c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-960.3</v>
      </c>
      <c r="AV63" s="105"/>
      <c r="AW63" s="17"/>
      <c r="AX63" s="14"/>
      <c r="AY63" s="14"/>
    </row>
    <row r="64" spans="1:51">
      <c r="A64" s="17"/>
      <c r="B64" s="14" t="s">
        <v>518</v>
      </c>
      <c r="C64" s="15">
        <v>9572</v>
      </c>
      <c r="D64" s="15"/>
      <c r="E64" s="15">
        <v>11515</v>
      </c>
      <c r="F64" s="15">
        <v>0</v>
      </c>
      <c r="G64" s="14" t="s">
        <v>412</v>
      </c>
      <c r="H64" s="14" t="s">
        <v>413</v>
      </c>
      <c r="I64" s="14" t="s">
        <v>419</v>
      </c>
      <c r="J64" s="14"/>
      <c r="K64" s="14"/>
      <c r="L64" s="14"/>
      <c r="M64" s="14">
        <v>377.6</v>
      </c>
      <c r="N64" s="31">
        <v>0</v>
      </c>
      <c r="O64" s="31">
        <f t="shared" si="0"/>
        <v>377.6</v>
      </c>
      <c r="P64" s="31"/>
      <c r="Q64" s="36">
        <v>0.01</v>
      </c>
      <c r="R64" s="14"/>
      <c r="S64" s="16">
        <v>0</v>
      </c>
      <c r="T64" s="16">
        <v>-3.7760000000000002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>
        <v>377.6</v>
      </c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-373.82400000000001</v>
      </c>
      <c r="AV64" s="105"/>
      <c r="AW64" s="17"/>
      <c r="AX64" s="14"/>
      <c r="AY64" s="14"/>
    </row>
    <row r="65" spans="1:51">
      <c r="A65" s="17"/>
      <c r="B65" s="14" t="s">
        <v>519</v>
      </c>
      <c r="C65" s="15">
        <v>9572</v>
      </c>
      <c r="D65" s="15"/>
      <c r="E65" s="15">
        <v>11515</v>
      </c>
      <c r="F65" s="15">
        <v>0</v>
      </c>
      <c r="G65" s="14" t="s">
        <v>412</v>
      </c>
      <c r="H65" s="14" t="s">
        <v>413</v>
      </c>
      <c r="I65" s="14" t="s">
        <v>417</v>
      </c>
      <c r="J65" s="14"/>
      <c r="K65" s="14"/>
      <c r="L65" s="14"/>
      <c r="M65" s="14">
        <v>1188</v>
      </c>
      <c r="N65" s="31">
        <v>0</v>
      </c>
      <c r="O65" s="31">
        <f t="shared" ref="O65:O71" si="2">N65/1.12+M65+L65+K65</f>
        <v>1188</v>
      </c>
      <c r="P65" s="31"/>
      <c r="Q65" s="36">
        <v>0.01</v>
      </c>
      <c r="R65" s="14"/>
      <c r="S65" s="16">
        <v>0</v>
      </c>
      <c r="T65" s="16">
        <v>-11.88</v>
      </c>
      <c r="U65" s="16"/>
      <c r="V65" s="16"/>
      <c r="W65" s="16"/>
      <c r="X65" s="16"/>
      <c r="Y65" s="16"/>
      <c r="Z65" s="16"/>
      <c r="AA65" s="16">
        <v>1188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-1176.1199999999999</v>
      </c>
      <c r="AV65" s="105"/>
      <c r="AW65" s="17"/>
      <c r="AX65" s="14"/>
      <c r="AY65" s="14"/>
    </row>
    <row r="66" spans="1:51">
      <c r="A66" s="17">
        <v>43404</v>
      </c>
      <c r="B66" s="14" t="s">
        <v>520</v>
      </c>
      <c r="C66" s="15">
        <v>231831</v>
      </c>
      <c r="D66" s="15"/>
      <c r="E66" s="15">
        <v>11516</v>
      </c>
      <c r="F66" s="15">
        <v>1948</v>
      </c>
      <c r="G66" s="14" t="s">
        <v>402</v>
      </c>
      <c r="H66" s="14">
        <v>139564</v>
      </c>
      <c r="I66" s="14" t="s">
        <v>420</v>
      </c>
      <c r="J66" s="14"/>
      <c r="K66" s="14"/>
      <c r="L66" s="14"/>
      <c r="M66" s="14">
        <v>0</v>
      </c>
      <c r="N66" s="31">
        <v>3437.62</v>
      </c>
      <c r="O66" s="31">
        <f t="shared" si="2"/>
        <v>3069.3035714285711</v>
      </c>
      <c r="P66" s="31"/>
      <c r="Q66" s="36">
        <v>0.01</v>
      </c>
      <c r="R66" s="14"/>
      <c r="S66" s="16">
        <v>368.3164285714285</v>
      </c>
      <c r="T66" s="16">
        <v>-30.693035714285713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>
        <v>3069.3035714285711</v>
      </c>
      <c r="AU66" s="16">
        <f t="shared" si="1"/>
        <v>-3406.9269642857139</v>
      </c>
      <c r="AV66" s="105"/>
      <c r="AW66" s="17"/>
      <c r="AX66" s="14"/>
      <c r="AY66" s="14"/>
    </row>
    <row r="67" spans="1:51">
      <c r="A67" s="17">
        <v>43404</v>
      </c>
      <c r="B67" s="14" t="s">
        <v>521</v>
      </c>
      <c r="C67" s="15">
        <v>15651</v>
      </c>
      <c r="D67" s="15"/>
      <c r="E67" s="15">
        <v>11517</v>
      </c>
      <c r="F67" s="15">
        <v>1931</v>
      </c>
      <c r="G67" s="14" t="s">
        <v>405</v>
      </c>
      <c r="H67" s="14" t="s">
        <v>406</v>
      </c>
      <c r="I67" s="14" t="s">
        <v>417</v>
      </c>
      <c r="J67" s="14"/>
      <c r="K67" s="14"/>
      <c r="L67" s="14"/>
      <c r="M67" s="14">
        <v>0</v>
      </c>
      <c r="N67" s="31">
        <v>1230</v>
      </c>
      <c r="O67" s="31">
        <f t="shared" si="2"/>
        <v>1098.2142857142856</v>
      </c>
      <c r="P67" s="31"/>
      <c r="Q67" s="36">
        <v>0.01</v>
      </c>
      <c r="R67" s="14"/>
      <c r="S67" s="16">
        <v>131.78571428571425</v>
      </c>
      <c r="T67" s="16">
        <v>-10.982142857142856</v>
      </c>
      <c r="U67" s="16"/>
      <c r="V67" s="16"/>
      <c r="W67" s="16"/>
      <c r="X67" s="16"/>
      <c r="Y67" s="16"/>
      <c r="Z67" s="16"/>
      <c r="AA67" s="16">
        <v>1098.2142857142856</v>
      </c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-1219.0178571428569</v>
      </c>
      <c r="AV67" s="105"/>
      <c r="AW67" s="17"/>
      <c r="AX67" s="14"/>
      <c r="AY67" s="14"/>
    </row>
    <row r="68" spans="1:51">
      <c r="A68" s="17"/>
      <c r="B68" s="14" t="s">
        <v>522</v>
      </c>
      <c r="C68" s="15"/>
      <c r="D68" s="15"/>
      <c r="E68" s="15"/>
      <c r="F68" s="15"/>
      <c r="G68" s="14" t="s">
        <v>159</v>
      </c>
      <c r="H68" s="14" t="s">
        <v>160</v>
      </c>
      <c r="I68" s="14"/>
      <c r="J68" s="14"/>
      <c r="K68" s="14"/>
      <c r="L68" s="14"/>
      <c r="M68" s="14"/>
      <c r="N68" s="31">
        <v>188721.2</v>
      </c>
      <c r="O68" s="31">
        <f t="shared" si="2"/>
        <v>168501.07142857142</v>
      </c>
      <c r="P68" s="31"/>
      <c r="Q68" s="36">
        <v>0.05</v>
      </c>
      <c r="R68" s="14"/>
      <c r="S68" s="16">
        <f>+O68*0.12</f>
        <v>20220.12857142857</v>
      </c>
      <c r="T68" s="16">
        <f t="shared" ref="T68:T73" si="3">-O68*Q68</f>
        <v>-8425.0535714285706</v>
      </c>
      <c r="U68" s="16"/>
      <c r="V68" s="16"/>
      <c r="W68" s="16">
        <f>+O68</f>
        <v>168501.07142857142</v>
      </c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-180296.14642857143</v>
      </c>
      <c r="AV68" s="105"/>
      <c r="AW68" s="17"/>
      <c r="AX68" s="14"/>
      <c r="AY68" s="14"/>
    </row>
    <row r="69" spans="1:51">
      <c r="A69" s="17"/>
      <c r="B69" s="14" t="s">
        <v>523</v>
      </c>
      <c r="C69" s="15"/>
      <c r="D69" s="15"/>
      <c r="E69" s="15"/>
      <c r="F69" s="15"/>
      <c r="G69" s="14" t="s">
        <v>161</v>
      </c>
      <c r="H69" s="14" t="s">
        <v>162</v>
      </c>
      <c r="I69" s="14"/>
      <c r="J69" s="14"/>
      <c r="K69" s="14"/>
      <c r="L69" s="14"/>
      <c r="M69" s="14"/>
      <c r="N69" s="31">
        <v>3360</v>
      </c>
      <c r="O69" s="31">
        <f t="shared" si="2"/>
        <v>2999.9999999999995</v>
      </c>
      <c r="P69" s="31"/>
      <c r="Q69" s="36">
        <v>0.05</v>
      </c>
      <c r="R69" s="14"/>
      <c r="S69" s="16">
        <f>+O69*0.12</f>
        <v>359.99999999999994</v>
      </c>
      <c r="T69" s="16">
        <f t="shared" si="3"/>
        <v>-149.99999999999997</v>
      </c>
      <c r="U69" s="16"/>
      <c r="V69" s="16"/>
      <c r="W69" s="16"/>
      <c r="X69" s="16">
        <f>+O69</f>
        <v>2999.9999999999995</v>
      </c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-3209.9999999999995</v>
      </c>
      <c r="AV69" s="105"/>
      <c r="AW69" s="17"/>
      <c r="AX69" s="14"/>
      <c r="AY69" s="14"/>
    </row>
    <row r="70" spans="1:51">
      <c r="A70" s="17"/>
      <c r="B70" s="14" t="s">
        <v>524</v>
      </c>
      <c r="C70" s="15"/>
      <c r="D70" s="15"/>
      <c r="E70" s="15"/>
      <c r="F70" s="15"/>
      <c r="G70" s="14" t="s">
        <v>163</v>
      </c>
      <c r="H70" s="14" t="s">
        <v>164</v>
      </c>
      <c r="I70" s="14"/>
      <c r="J70" s="14"/>
      <c r="K70" s="14"/>
      <c r="L70" s="14"/>
      <c r="M70" s="14"/>
      <c r="N70" s="31">
        <v>16800</v>
      </c>
      <c r="O70" s="31">
        <f t="shared" si="2"/>
        <v>14999.999999999998</v>
      </c>
      <c r="P70" s="31"/>
      <c r="Q70" s="36">
        <v>0.05</v>
      </c>
      <c r="R70" s="14"/>
      <c r="S70" s="16">
        <f>+O70*0.12</f>
        <v>1799.9999999999998</v>
      </c>
      <c r="T70" s="16">
        <f t="shared" si="3"/>
        <v>-750</v>
      </c>
      <c r="U70" s="16"/>
      <c r="V70" s="16"/>
      <c r="W70" s="16"/>
      <c r="X70" s="16"/>
      <c r="Y70" s="16"/>
      <c r="Z70" s="16">
        <f>+O70</f>
        <v>14999.999999999998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>
        <f t="shared" si="1"/>
        <v>-16049.999999999998</v>
      </c>
      <c r="AV70" s="105"/>
      <c r="AW70" s="17"/>
      <c r="AX70" s="14"/>
      <c r="AY70" s="14"/>
    </row>
    <row r="71" spans="1:51">
      <c r="A71" s="17"/>
      <c r="B71" s="14" t="s">
        <v>525</v>
      </c>
      <c r="C71" s="15"/>
      <c r="D71" s="15"/>
      <c r="E71" s="15"/>
      <c r="F71" s="15"/>
      <c r="G71" s="14" t="s">
        <v>165</v>
      </c>
      <c r="H71" s="14" t="s">
        <v>166</v>
      </c>
      <c r="I71" s="14"/>
      <c r="J71" s="14"/>
      <c r="K71" s="14"/>
      <c r="L71" s="14"/>
      <c r="M71" s="14"/>
      <c r="N71" s="31">
        <v>28517.81</v>
      </c>
      <c r="O71" s="31">
        <f t="shared" si="2"/>
        <v>25462.330357142855</v>
      </c>
      <c r="P71" s="31"/>
      <c r="Q71" s="36">
        <v>0.1</v>
      </c>
      <c r="R71" s="14"/>
      <c r="S71" s="16">
        <f>+O71*0.12</f>
        <v>3055.4796428571426</v>
      </c>
      <c r="T71" s="16">
        <f t="shared" si="3"/>
        <v>-2546.2330357142855</v>
      </c>
      <c r="U71" s="16"/>
      <c r="V71" s="16"/>
      <c r="W71" s="16"/>
      <c r="X71" s="16"/>
      <c r="Y71" s="16">
        <f>+O71</f>
        <v>25462.330357142855</v>
      </c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-25971.576964285712</v>
      </c>
      <c r="AV71" s="105"/>
      <c r="AW71" s="17"/>
      <c r="AX71" s="14"/>
      <c r="AY71" s="14"/>
    </row>
    <row r="72" spans="1:51">
      <c r="A72" s="17"/>
      <c r="B72" s="14" t="s">
        <v>526</v>
      </c>
      <c r="C72" s="15"/>
      <c r="D72" s="15"/>
      <c r="E72" s="15"/>
      <c r="F72" s="15"/>
      <c r="G72" s="14" t="s">
        <v>460</v>
      </c>
      <c r="H72" s="14"/>
      <c r="I72" s="14"/>
      <c r="J72" s="14"/>
      <c r="K72" s="14"/>
      <c r="L72" s="14"/>
      <c r="M72" s="14">
        <v>14897.46</v>
      </c>
      <c r="N72" s="31"/>
      <c r="O72" s="31">
        <f t="shared" ref="O72:O80" si="4">N72/1.12+M72+L72+K72</f>
        <v>14897.46</v>
      </c>
      <c r="P72" s="31"/>
      <c r="Q72" s="36">
        <v>0.02</v>
      </c>
      <c r="R72" s="14"/>
      <c r="S72" s="16"/>
      <c r="T72" s="16">
        <f t="shared" si="3"/>
        <v>-297.94919999999996</v>
      </c>
      <c r="U72" s="16"/>
      <c r="V72" s="16">
        <f>+O72</f>
        <v>14897.46</v>
      </c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>
        <f t="shared" ref="AU72:AU135" si="5">-SUM(R72:AT72)</f>
        <v>-14599.5108</v>
      </c>
      <c r="AV72" s="105"/>
      <c r="AW72" s="17"/>
      <c r="AX72" s="14"/>
      <c r="AY72" s="14"/>
    </row>
    <row r="73" spans="1:51">
      <c r="A73" s="17"/>
      <c r="B73" s="14" t="s">
        <v>527</v>
      </c>
      <c r="C73" s="15"/>
      <c r="D73" s="15"/>
      <c r="E73" s="15"/>
      <c r="F73" s="15"/>
      <c r="G73" s="14"/>
      <c r="H73" s="14"/>
      <c r="I73" s="14"/>
      <c r="J73" s="14"/>
      <c r="K73" s="14"/>
      <c r="L73" s="14"/>
      <c r="M73" s="14">
        <v>15272.71</v>
      </c>
      <c r="N73" s="31"/>
      <c r="O73" s="31">
        <f t="shared" si="4"/>
        <v>15272.71</v>
      </c>
      <c r="P73" s="31"/>
      <c r="Q73" s="36">
        <v>0.02</v>
      </c>
      <c r="R73" s="14"/>
      <c r="S73" s="16"/>
      <c r="T73" s="16">
        <f t="shared" si="3"/>
        <v>-305.45420000000001</v>
      </c>
      <c r="U73" s="16"/>
      <c r="V73" s="16">
        <f>+O73</f>
        <v>15272.71</v>
      </c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5"/>
        <v>-14967.255799999999</v>
      </c>
      <c r="AV73" s="105"/>
      <c r="AW73" s="17"/>
      <c r="AX73" s="14"/>
      <c r="AY73" s="14"/>
    </row>
    <row r="74" spans="1:51">
      <c r="A74" s="17"/>
      <c r="B74" s="14" t="s">
        <v>528</v>
      </c>
      <c r="C74" s="15"/>
      <c r="D74" s="15"/>
      <c r="E74" s="15"/>
      <c r="F74" s="15"/>
      <c r="G74" s="14"/>
      <c r="H74" s="14"/>
      <c r="I74" s="14"/>
      <c r="J74" s="14"/>
      <c r="K74" s="14"/>
      <c r="L74" s="14"/>
      <c r="M74" s="14"/>
      <c r="N74" s="31"/>
      <c r="O74" s="31">
        <f t="shared" si="4"/>
        <v>0</v>
      </c>
      <c r="P74" s="31"/>
      <c r="Q74" s="36"/>
      <c r="R74" s="14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5"/>
        <v>0</v>
      </c>
      <c r="AV74" s="105"/>
      <c r="AW74" s="17"/>
      <c r="AX74" s="14"/>
      <c r="AY74" s="14"/>
    </row>
    <row r="75" spans="1:51">
      <c r="A75" s="17"/>
      <c r="B75" s="14" t="s">
        <v>529</v>
      </c>
      <c r="C75" s="15"/>
      <c r="D75" s="15"/>
      <c r="E75" s="15"/>
      <c r="F75" s="15"/>
      <c r="G75" s="14"/>
      <c r="H75" s="14"/>
      <c r="I75" s="14"/>
      <c r="J75" s="14"/>
      <c r="K75" s="14"/>
      <c r="L75" s="14"/>
      <c r="M75" s="14"/>
      <c r="N75" s="31"/>
      <c r="O75" s="31">
        <f t="shared" si="4"/>
        <v>0</v>
      </c>
      <c r="P75" s="31"/>
      <c r="Q75" s="36"/>
      <c r="R75" s="14"/>
      <c r="S75" s="16"/>
      <c r="T75" s="16">
        <f t="shared" ref="T75:T76" si="6">-O75*Q75</f>
        <v>0</v>
      </c>
      <c r="U75" s="16"/>
      <c r="V75" s="16">
        <f>+O75</f>
        <v>0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5"/>
        <v>0</v>
      </c>
      <c r="AV75" s="105"/>
      <c r="AW75" s="17"/>
      <c r="AX75" s="14"/>
      <c r="AY75" s="14"/>
    </row>
    <row r="76" spans="1:51">
      <c r="A76" s="17"/>
      <c r="B76" s="14" t="s">
        <v>530</v>
      </c>
      <c r="C76" s="15"/>
      <c r="D76" s="15"/>
      <c r="E76" s="15"/>
      <c r="F76" s="15"/>
      <c r="G76" s="14"/>
      <c r="H76" s="14"/>
      <c r="I76" s="14"/>
      <c r="J76" s="14"/>
      <c r="K76" s="14"/>
      <c r="L76" s="14"/>
      <c r="M76" s="14"/>
      <c r="N76" s="31"/>
      <c r="O76" s="31">
        <f t="shared" si="4"/>
        <v>0</v>
      </c>
      <c r="P76" s="31"/>
      <c r="Q76" s="36"/>
      <c r="R76" s="14"/>
      <c r="S76" s="16"/>
      <c r="T76" s="16">
        <f t="shared" si="6"/>
        <v>0</v>
      </c>
      <c r="U76" s="16"/>
      <c r="V76" s="16">
        <f>+O76</f>
        <v>0</v>
      </c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5"/>
        <v>0</v>
      </c>
      <c r="AV76" s="105"/>
      <c r="AW76" s="17"/>
      <c r="AX76" s="14"/>
      <c r="AY76" s="14"/>
    </row>
    <row r="77" spans="1:51">
      <c r="A77" s="17"/>
      <c r="B77" s="14" t="s">
        <v>531</v>
      </c>
      <c r="C77" s="15"/>
      <c r="D77" s="15"/>
      <c r="E77" s="15"/>
      <c r="F77" s="15"/>
      <c r="G77" s="14"/>
      <c r="H77" s="14"/>
      <c r="I77" s="14"/>
      <c r="J77" s="14"/>
      <c r="K77" s="14"/>
      <c r="L77" s="14"/>
      <c r="M77" s="14"/>
      <c r="N77" s="31"/>
      <c r="O77" s="31">
        <f t="shared" si="4"/>
        <v>0</v>
      </c>
      <c r="P77" s="31"/>
      <c r="Q77" s="36"/>
      <c r="R77" s="14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>
        <f t="shared" si="5"/>
        <v>0</v>
      </c>
      <c r="AV77" s="105"/>
      <c r="AW77" s="17"/>
      <c r="AX77" s="14"/>
      <c r="AY77" s="14"/>
    </row>
    <row r="78" spans="1:51">
      <c r="A78" s="17"/>
      <c r="B78" s="14" t="s">
        <v>532</v>
      </c>
      <c r="C78" s="15"/>
      <c r="D78" s="15"/>
      <c r="E78" s="15"/>
      <c r="F78" s="15"/>
      <c r="G78" s="14"/>
      <c r="H78" s="14"/>
      <c r="I78" s="14"/>
      <c r="J78" s="14"/>
      <c r="K78" s="14"/>
      <c r="L78" s="14"/>
      <c r="M78" s="14"/>
      <c r="N78" s="31"/>
      <c r="O78" s="31">
        <f t="shared" si="4"/>
        <v>0</v>
      </c>
      <c r="P78" s="31"/>
      <c r="Q78" s="36"/>
      <c r="R78" s="14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5"/>
        <v>0</v>
      </c>
      <c r="AV78" s="105"/>
      <c r="AW78" s="17"/>
      <c r="AX78" s="14"/>
      <c r="AY78" s="14"/>
    </row>
    <row r="79" spans="1:51">
      <c r="A79" s="17"/>
      <c r="B79" s="14" t="s">
        <v>533</v>
      </c>
      <c r="C79" s="15"/>
      <c r="D79" s="15"/>
      <c r="E79" s="15"/>
      <c r="F79" s="15"/>
      <c r="G79" s="14"/>
      <c r="H79" s="14"/>
      <c r="I79" s="14"/>
      <c r="J79" s="14"/>
      <c r="K79" s="14"/>
      <c r="L79" s="14"/>
      <c r="M79" s="14"/>
      <c r="N79" s="31"/>
      <c r="O79" s="31">
        <f t="shared" si="4"/>
        <v>0</v>
      </c>
      <c r="P79" s="31"/>
      <c r="Q79" s="36"/>
      <c r="R79" s="14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5"/>
        <v>0</v>
      </c>
      <c r="AV79" s="105"/>
      <c r="AW79" s="17"/>
      <c r="AX79" s="14"/>
      <c r="AY79" s="14"/>
    </row>
    <row r="80" spans="1:51">
      <c r="A80" s="17"/>
      <c r="B80" s="14" t="s">
        <v>534</v>
      </c>
      <c r="C80" s="15"/>
      <c r="D80" s="15"/>
      <c r="E80" s="15"/>
      <c r="F80" s="15"/>
      <c r="G80" s="14"/>
      <c r="H80" s="14"/>
      <c r="I80" s="14"/>
      <c r="J80" s="14"/>
      <c r="K80" s="14"/>
      <c r="L80" s="14"/>
      <c r="M80" s="14"/>
      <c r="N80" s="31"/>
      <c r="O80" s="31">
        <f t="shared" si="4"/>
        <v>0</v>
      </c>
      <c r="P80" s="31"/>
      <c r="Q80" s="36"/>
      <c r="R80" s="14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>
        <f t="shared" si="5"/>
        <v>0</v>
      </c>
      <c r="AV80" s="105"/>
      <c r="AW80" s="17"/>
      <c r="AX80" s="14"/>
      <c r="AY80" s="14"/>
    </row>
    <row r="81" spans="1:51">
      <c r="A81" s="17"/>
      <c r="B81" s="14" t="s">
        <v>535</v>
      </c>
      <c r="C81" s="15"/>
      <c r="D81" s="15"/>
      <c r="E81" s="15"/>
      <c r="F81" s="15"/>
      <c r="G81" s="14"/>
      <c r="H81" s="14"/>
      <c r="I81" s="14"/>
      <c r="J81" s="14"/>
      <c r="K81" s="14"/>
      <c r="L81" s="14"/>
      <c r="M81" s="14"/>
      <c r="N81" s="31"/>
      <c r="O81" s="31"/>
      <c r="P81" s="31"/>
      <c r="Q81" s="36"/>
      <c r="R81" s="14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5"/>
        <v>0</v>
      </c>
      <c r="AW81" s="17"/>
      <c r="AX81" s="14"/>
      <c r="AY81" s="14"/>
    </row>
    <row r="82" spans="1:51">
      <c r="A82" s="17"/>
      <c r="B82" s="14" t="s">
        <v>536</v>
      </c>
      <c r="C82" s="15"/>
      <c r="D82" s="15"/>
      <c r="E82" s="15"/>
      <c r="F82" s="15"/>
      <c r="G82" s="14"/>
      <c r="H82" s="14"/>
      <c r="I82" s="14"/>
      <c r="J82" s="14"/>
      <c r="K82" s="14"/>
      <c r="L82" s="14"/>
      <c r="M82" s="14"/>
      <c r="N82" s="31"/>
      <c r="O82" s="31"/>
      <c r="P82" s="31"/>
      <c r="Q82" s="36"/>
      <c r="R82" s="14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>
        <f t="shared" si="5"/>
        <v>0</v>
      </c>
      <c r="AW82" s="17"/>
      <c r="AX82" s="14"/>
      <c r="AY82" s="14"/>
    </row>
    <row r="83" spans="1:51">
      <c r="A83" s="17"/>
      <c r="B83" s="14" t="s">
        <v>537</v>
      </c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31"/>
      <c r="O83" s="31"/>
      <c r="P83" s="31"/>
      <c r="Q83" s="36"/>
      <c r="R83" s="14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5"/>
        <v>0</v>
      </c>
      <c r="AW83" s="17"/>
      <c r="AX83" s="14"/>
      <c r="AY83" s="14"/>
    </row>
    <row r="84" spans="1:51">
      <c r="A84" s="17"/>
      <c r="B84" s="14" t="s">
        <v>538</v>
      </c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31"/>
      <c r="O84" s="31"/>
      <c r="P84" s="31"/>
      <c r="Q84" s="36"/>
      <c r="R84" s="14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5"/>
        <v>0</v>
      </c>
      <c r="AW84" s="17"/>
      <c r="AX84" s="14"/>
      <c r="AY84" s="14"/>
    </row>
    <row r="85" spans="1:51">
      <c r="A85" s="17"/>
      <c r="B85" s="14" t="s">
        <v>539</v>
      </c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31"/>
      <c r="O85" s="31"/>
      <c r="P85" s="31"/>
      <c r="Q85" s="36"/>
      <c r="R85" s="14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5"/>
        <v>0</v>
      </c>
      <c r="AW85" s="17"/>
      <c r="AX85" s="14"/>
      <c r="AY85" s="14"/>
    </row>
    <row r="86" spans="1:51">
      <c r="A86" s="17"/>
      <c r="B86" s="14" t="s">
        <v>540</v>
      </c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31"/>
      <c r="O86" s="31"/>
      <c r="P86" s="31"/>
      <c r="Q86" s="36"/>
      <c r="R86" s="14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>
        <f t="shared" si="5"/>
        <v>0</v>
      </c>
      <c r="AW86" s="17"/>
      <c r="AX86" s="14"/>
      <c r="AY86" s="14"/>
    </row>
    <row r="87" spans="1:51">
      <c r="A87" s="17"/>
      <c r="B87" s="14" t="s">
        <v>541</v>
      </c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31"/>
      <c r="O87" s="31"/>
      <c r="P87" s="31"/>
      <c r="Q87" s="36"/>
      <c r="R87" s="14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5"/>
        <v>0</v>
      </c>
      <c r="AW87" s="17"/>
      <c r="AX87" s="14"/>
      <c r="AY87" s="14"/>
    </row>
    <row r="88" spans="1:51">
      <c r="A88" s="18"/>
      <c r="B88" s="14" t="s">
        <v>542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7"/>
      <c r="O88" s="77"/>
      <c r="P88" s="77"/>
      <c r="Q88" s="37"/>
      <c r="R88" s="19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5"/>
        <v>0</v>
      </c>
      <c r="AW88" s="18"/>
      <c r="AX88" s="19"/>
      <c r="AY88" s="19"/>
    </row>
    <row r="89" spans="1:51">
      <c r="A89" s="18"/>
      <c r="B89" s="14" t="s">
        <v>543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7"/>
      <c r="O89" s="77"/>
      <c r="P89" s="77"/>
      <c r="Q89" s="37"/>
      <c r="R89" s="19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5"/>
        <v>0</v>
      </c>
      <c r="AW89" s="18"/>
      <c r="AX89" s="19"/>
      <c r="AY89" s="19"/>
    </row>
    <row r="90" spans="1:51">
      <c r="A90" s="18"/>
      <c r="B90" s="14" t="s">
        <v>544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7"/>
      <c r="O90" s="77"/>
      <c r="P90" s="77"/>
      <c r="Q90" s="37"/>
      <c r="R90" s="19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5"/>
        <v>0</v>
      </c>
      <c r="AW90" s="18"/>
      <c r="AX90" s="19"/>
      <c r="AY90" s="19"/>
    </row>
    <row r="91" spans="1:51">
      <c r="A91" s="18"/>
      <c r="B91" s="14" t="s">
        <v>545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7"/>
      <c r="O91" s="77"/>
      <c r="P91" s="77"/>
      <c r="Q91" s="37"/>
      <c r="R91" s="19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5"/>
        <v>0</v>
      </c>
      <c r="AW91" s="18"/>
      <c r="AX91" s="19"/>
      <c r="AY91" s="19"/>
    </row>
    <row r="92" spans="1:51">
      <c r="A92" s="18"/>
      <c r="B92" s="14" t="s">
        <v>546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7"/>
      <c r="O92" s="77"/>
      <c r="P92" s="77"/>
      <c r="Q92" s="37"/>
      <c r="R92" s="19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5"/>
        <v>0</v>
      </c>
      <c r="AW92" s="18"/>
      <c r="AX92" s="19"/>
      <c r="AY92" s="19"/>
    </row>
    <row r="93" spans="1:51">
      <c r="A93" s="18"/>
      <c r="B93" s="14" t="s">
        <v>547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7"/>
      <c r="O93" s="77"/>
      <c r="P93" s="77"/>
      <c r="Q93" s="37"/>
      <c r="R93" s="19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5"/>
        <v>0</v>
      </c>
      <c r="AW93" s="18"/>
      <c r="AX93" s="19"/>
      <c r="AY93" s="19"/>
    </row>
    <row r="94" spans="1:51">
      <c r="A94" s="18"/>
      <c r="B94" s="14" t="s">
        <v>548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7"/>
      <c r="O94" s="77"/>
      <c r="P94" s="77"/>
      <c r="Q94" s="37"/>
      <c r="R94" s="19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5"/>
        <v>0</v>
      </c>
      <c r="AW94" s="18"/>
      <c r="AX94" s="19"/>
      <c r="AY94" s="19"/>
    </row>
    <row r="95" spans="1:51">
      <c r="A95" s="18"/>
      <c r="B95" s="14" t="s">
        <v>549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7"/>
      <c r="O95" s="77"/>
      <c r="P95" s="77"/>
      <c r="Q95" s="37"/>
      <c r="R95" s="19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5"/>
        <v>0</v>
      </c>
      <c r="AW95" s="18"/>
      <c r="AX95" s="19"/>
      <c r="AY95" s="19"/>
    </row>
    <row r="96" spans="1:51">
      <c r="A96" s="18"/>
      <c r="B96" s="14" t="s">
        <v>550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7"/>
      <c r="O96" s="77"/>
      <c r="P96" s="77"/>
      <c r="Q96" s="37"/>
      <c r="R96" s="19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5"/>
        <v>0</v>
      </c>
      <c r="AW96" s="18"/>
      <c r="AX96" s="19"/>
      <c r="AY96" s="19"/>
    </row>
    <row r="97" spans="1:51">
      <c r="A97" s="18"/>
      <c r="B97" s="14" t="s">
        <v>551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7"/>
      <c r="O97" s="77"/>
      <c r="P97" s="77"/>
      <c r="Q97" s="37"/>
      <c r="R97" s="19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5"/>
        <v>0</v>
      </c>
      <c r="AW97" s="18"/>
      <c r="AX97" s="19"/>
      <c r="AY97" s="19"/>
    </row>
    <row r="98" spans="1:51">
      <c r="A98" s="18"/>
      <c r="B98" s="14" t="s">
        <v>552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7"/>
      <c r="O98" s="77"/>
      <c r="P98" s="77"/>
      <c r="Q98" s="37"/>
      <c r="R98" s="19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5"/>
        <v>0</v>
      </c>
      <c r="AW98" s="18"/>
      <c r="AX98" s="19"/>
      <c r="AY98" s="19"/>
    </row>
    <row r="99" spans="1:51">
      <c r="A99" s="18"/>
      <c r="B99" s="14" t="s">
        <v>553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7"/>
      <c r="O99" s="77"/>
      <c r="P99" s="77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5"/>
        <v>0</v>
      </c>
      <c r="AW99" s="18"/>
      <c r="AX99" s="19"/>
      <c r="AY99" s="19"/>
    </row>
    <row r="100" spans="1:51">
      <c r="A100" s="18"/>
      <c r="B100" s="14" t="s">
        <v>554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7"/>
      <c r="O100" s="77"/>
      <c r="P100" s="77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5"/>
        <v>0</v>
      </c>
      <c r="AW100" s="18"/>
      <c r="AX100" s="19"/>
      <c r="AY100" s="19"/>
    </row>
    <row r="101" spans="1:51">
      <c r="A101" s="18"/>
      <c r="B101" s="14" t="s">
        <v>555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7"/>
      <c r="O101" s="77"/>
      <c r="P101" s="77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5"/>
        <v>0</v>
      </c>
      <c r="AW101" s="18"/>
      <c r="AX101" s="19"/>
      <c r="AY101" s="19"/>
    </row>
    <row r="102" spans="1:51">
      <c r="A102" s="18"/>
      <c r="B102" s="14" t="s">
        <v>556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7"/>
      <c r="O102" s="77"/>
      <c r="P102" s="77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5"/>
        <v>0</v>
      </c>
      <c r="AW102" s="18"/>
      <c r="AX102" s="19"/>
      <c r="AY102" s="19"/>
    </row>
    <row r="103" spans="1:51">
      <c r="A103" s="18"/>
      <c r="B103" s="14" t="s">
        <v>557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7"/>
      <c r="O103" s="77"/>
      <c r="P103" s="77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5"/>
        <v>0</v>
      </c>
      <c r="AW103" s="18"/>
      <c r="AX103" s="19"/>
      <c r="AY103" s="19"/>
    </row>
    <row r="104" spans="1:51">
      <c r="A104" s="18"/>
      <c r="B104" s="14" t="s">
        <v>558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7"/>
      <c r="O104" s="77"/>
      <c r="P104" s="77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5"/>
        <v>0</v>
      </c>
      <c r="AW104" s="18"/>
      <c r="AX104" s="19"/>
      <c r="AY104" s="19"/>
    </row>
    <row r="105" spans="1:51">
      <c r="A105" s="18"/>
      <c r="B105" s="14" t="s">
        <v>559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7"/>
      <c r="O105" s="77"/>
      <c r="P105" s="77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5"/>
        <v>0</v>
      </c>
      <c r="AW105" s="18"/>
      <c r="AX105" s="19"/>
      <c r="AY105" s="19"/>
    </row>
    <row r="106" spans="1:51">
      <c r="A106" s="18"/>
      <c r="B106" s="14" t="s">
        <v>560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7"/>
      <c r="O106" s="77"/>
      <c r="P106" s="77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5"/>
        <v>0</v>
      </c>
      <c r="AW106" s="18"/>
      <c r="AX106" s="19"/>
      <c r="AY106" s="19"/>
    </row>
    <row r="107" spans="1:51">
      <c r="A107" s="18"/>
      <c r="B107" s="14" t="s">
        <v>561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7"/>
      <c r="O107" s="77"/>
      <c r="P107" s="77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5"/>
        <v>0</v>
      </c>
      <c r="AW107" s="18"/>
      <c r="AX107" s="19"/>
      <c r="AY107" s="19"/>
    </row>
    <row r="108" spans="1:51">
      <c r="A108" s="18"/>
      <c r="B108" s="14" t="s">
        <v>562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7"/>
      <c r="O108" s="77"/>
      <c r="P108" s="77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5"/>
        <v>0</v>
      </c>
      <c r="AW108" s="18"/>
      <c r="AX108" s="19"/>
      <c r="AY108" s="19"/>
    </row>
    <row r="109" spans="1:51">
      <c r="A109" s="18"/>
      <c r="B109" s="14" t="s">
        <v>563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7"/>
      <c r="O109" s="77"/>
      <c r="P109" s="77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5"/>
        <v>0</v>
      </c>
      <c r="AW109" s="18"/>
      <c r="AX109" s="19"/>
      <c r="AY109" s="19"/>
    </row>
    <row r="110" spans="1:51">
      <c r="A110" s="18"/>
      <c r="B110" s="14" t="s">
        <v>564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7"/>
      <c r="O110" s="77"/>
      <c r="P110" s="77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5"/>
        <v>0</v>
      </c>
      <c r="AW110" s="18"/>
      <c r="AX110" s="19"/>
      <c r="AY110" s="19"/>
    </row>
    <row r="111" spans="1:51">
      <c r="A111" s="18"/>
      <c r="B111" s="14" t="s">
        <v>565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7"/>
      <c r="O111" s="77"/>
      <c r="P111" s="77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5"/>
        <v>0</v>
      </c>
      <c r="AW111" s="18"/>
      <c r="AX111" s="19"/>
      <c r="AY111" s="19"/>
    </row>
    <row r="112" spans="1:51">
      <c r="A112" s="18"/>
      <c r="B112" s="14" t="s">
        <v>566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7"/>
      <c r="O112" s="77"/>
      <c r="P112" s="77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5"/>
        <v>0</v>
      </c>
      <c r="AW112" s="18"/>
      <c r="AX112" s="19"/>
      <c r="AY112" s="19"/>
    </row>
    <row r="113" spans="1:51">
      <c r="A113" s="18"/>
      <c r="B113" s="14" t="s">
        <v>567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7"/>
      <c r="O113" s="77"/>
      <c r="P113" s="77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5"/>
        <v>0</v>
      </c>
      <c r="AW113" s="18"/>
      <c r="AX113" s="19"/>
      <c r="AY113" s="19"/>
    </row>
    <row r="114" spans="1:51">
      <c r="A114" s="18"/>
      <c r="B114" s="14" t="s">
        <v>568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7"/>
      <c r="O114" s="77"/>
      <c r="P114" s="77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5"/>
        <v>0</v>
      </c>
      <c r="AW114" s="18"/>
      <c r="AX114" s="19"/>
      <c r="AY114" s="19"/>
    </row>
    <row r="115" spans="1:51">
      <c r="A115" s="18"/>
      <c r="B115" s="14" t="s">
        <v>569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7"/>
      <c r="O115" s="77"/>
      <c r="P115" s="77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5"/>
        <v>0</v>
      </c>
      <c r="AW115" s="18"/>
      <c r="AX115" s="19"/>
      <c r="AY115" s="19"/>
    </row>
    <row r="116" spans="1:51">
      <c r="A116" s="18"/>
      <c r="B116" s="14" t="s">
        <v>570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7"/>
      <c r="O116" s="77"/>
      <c r="P116" s="77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5"/>
        <v>0</v>
      </c>
      <c r="AW116" s="18"/>
      <c r="AX116" s="19"/>
      <c r="AY116" s="19"/>
    </row>
    <row r="117" spans="1:51">
      <c r="A117" s="18"/>
      <c r="B117" s="14" t="s">
        <v>571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7"/>
      <c r="O117" s="77"/>
      <c r="P117" s="77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5"/>
        <v>0</v>
      </c>
      <c r="AW117" s="18"/>
      <c r="AX117" s="19"/>
      <c r="AY117" s="19"/>
    </row>
    <row r="118" spans="1:51">
      <c r="A118" s="18"/>
      <c r="B118" s="14" t="s">
        <v>572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7"/>
      <c r="O118" s="77"/>
      <c r="P118" s="77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5"/>
        <v>0</v>
      </c>
      <c r="AW118" s="18"/>
      <c r="AX118" s="19"/>
      <c r="AY118" s="19"/>
    </row>
    <row r="119" spans="1:51">
      <c r="A119" s="18"/>
      <c r="B119" s="14" t="s">
        <v>573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7"/>
      <c r="O119" s="77"/>
      <c r="P119" s="77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5"/>
        <v>0</v>
      </c>
      <c r="AW119" s="18"/>
      <c r="AX119" s="19"/>
      <c r="AY119" s="19"/>
    </row>
    <row r="120" spans="1:51">
      <c r="A120" s="18"/>
      <c r="B120" s="14" t="s">
        <v>574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7"/>
      <c r="O120" s="77"/>
      <c r="P120" s="77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5"/>
        <v>0</v>
      </c>
      <c r="AW120" s="18"/>
      <c r="AX120" s="19"/>
      <c r="AY120" s="19"/>
    </row>
    <row r="121" spans="1:51">
      <c r="A121" s="18"/>
      <c r="B121" s="14" t="s">
        <v>575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7"/>
      <c r="O121" s="77"/>
      <c r="P121" s="77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5"/>
        <v>0</v>
      </c>
      <c r="AW121" s="18"/>
      <c r="AX121" s="19"/>
      <c r="AY121" s="19"/>
    </row>
    <row r="122" spans="1:51">
      <c r="A122" s="18"/>
      <c r="B122" s="14" t="s">
        <v>576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7"/>
      <c r="O122" s="77"/>
      <c r="P122" s="77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5"/>
        <v>0</v>
      </c>
      <c r="AW122" s="18"/>
      <c r="AX122" s="19"/>
      <c r="AY122" s="19"/>
    </row>
    <row r="123" spans="1:51">
      <c r="A123" s="18"/>
      <c r="B123" s="14" t="s">
        <v>577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7"/>
      <c r="O123" s="77"/>
      <c r="P123" s="77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5"/>
        <v>0</v>
      </c>
      <c r="AW123" s="18"/>
      <c r="AX123" s="19"/>
      <c r="AY123" s="19"/>
    </row>
    <row r="124" spans="1:51">
      <c r="A124" s="18"/>
      <c r="B124" s="14" t="s">
        <v>578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7"/>
      <c r="O124" s="77"/>
      <c r="P124" s="77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5"/>
        <v>0</v>
      </c>
      <c r="AW124" s="18"/>
      <c r="AX124" s="19"/>
      <c r="AY124" s="19"/>
    </row>
    <row r="125" spans="1:51">
      <c r="A125" s="18"/>
      <c r="B125" s="14" t="s">
        <v>579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7"/>
      <c r="O125" s="77"/>
      <c r="P125" s="77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5"/>
        <v>0</v>
      </c>
      <c r="AW125" s="18"/>
      <c r="AX125" s="19"/>
      <c r="AY125" s="19"/>
    </row>
    <row r="126" spans="1:51">
      <c r="A126" s="18"/>
      <c r="B126" s="14" t="s">
        <v>580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7"/>
      <c r="O126" s="77"/>
      <c r="P126" s="77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5"/>
        <v>0</v>
      </c>
      <c r="AW126" s="18"/>
      <c r="AX126" s="19"/>
      <c r="AY126" s="19"/>
    </row>
    <row r="127" spans="1:51">
      <c r="A127" s="18"/>
      <c r="B127" s="14" t="s">
        <v>581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7"/>
      <c r="O127" s="77"/>
      <c r="P127" s="77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5"/>
        <v>0</v>
      </c>
      <c r="AW127" s="18"/>
      <c r="AX127" s="19"/>
      <c r="AY127" s="19"/>
    </row>
    <row r="128" spans="1:51">
      <c r="A128" s="18"/>
      <c r="B128" s="14" t="s">
        <v>582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7"/>
      <c r="O128" s="77"/>
      <c r="P128" s="77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5"/>
        <v>0</v>
      </c>
      <c r="AW128" s="18"/>
      <c r="AX128" s="19"/>
      <c r="AY128" s="19"/>
    </row>
    <row r="129" spans="1:51">
      <c r="A129" s="18"/>
      <c r="B129" s="14" t="s">
        <v>583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7"/>
      <c r="O129" s="77"/>
      <c r="P129" s="77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5"/>
        <v>0</v>
      </c>
      <c r="AW129" s="18"/>
      <c r="AX129" s="19"/>
      <c r="AY129" s="19"/>
    </row>
    <row r="130" spans="1:51">
      <c r="A130" s="18"/>
      <c r="B130" s="14" t="s">
        <v>584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7"/>
      <c r="O130" s="77"/>
      <c r="P130" s="77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5"/>
        <v>0</v>
      </c>
      <c r="AW130" s="18"/>
      <c r="AX130" s="19"/>
      <c r="AY130" s="19"/>
    </row>
    <row r="131" spans="1:51">
      <c r="A131" s="18"/>
      <c r="B131" s="14" t="s">
        <v>585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7"/>
      <c r="O131" s="77"/>
      <c r="P131" s="77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5"/>
        <v>0</v>
      </c>
      <c r="AW131" s="18"/>
      <c r="AX131" s="19"/>
      <c r="AY131" s="19"/>
    </row>
    <row r="132" spans="1:51">
      <c r="A132" s="18"/>
      <c r="B132" s="14" t="s">
        <v>586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7"/>
      <c r="O132" s="77"/>
      <c r="P132" s="77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5"/>
        <v>0</v>
      </c>
      <c r="AW132" s="18"/>
      <c r="AX132" s="19"/>
      <c r="AY132" s="19"/>
    </row>
    <row r="133" spans="1:51">
      <c r="A133" s="18"/>
      <c r="B133" s="14" t="s">
        <v>587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7"/>
      <c r="O133" s="77"/>
      <c r="P133" s="77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5"/>
        <v>0</v>
      </c>
      <c r="AW133" s="18"/>
      <c r="AX133" s="19"/>
      <c r="AY133" s="19"/>
    </row>
    <row r="134" spans="1:51">
      <c r="A134" s="18"/>
      <c r="B134" s="14" t="s">
        <v>588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7"/>
      <c r="O134" s="77"/>
      <c r="P134" s="77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5"/>
        <v>0</v>
      </c>
      <c r="AW134" s="18"/>
      <c r="AX134" s="19"/>
      <c r="AY134" s="19"/>
    </row>
    <row r="135" spans="1:51">
      <c r="A135" s="18"/>
      <c r="B135" s="14" t="s">
        <v>589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7"/>
      <c r="O135" s="77"/>
      <c r="P135" s="77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5"/>
        <v>0</v>
      </c>
      <c r="AW135" s="18"/>
      <c r="AX135" s="19"/>
      <c r="AY135" s="19"/>
    </row>
    <row r="136" spans="1:51">
      <c r="A136" s="18"/>
      <c r="B136" s="14" t="s">
        <v>590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7"/>
      <c r="O136" s="77"/>
      <c r="P136" s="77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7">-SUM(R136:AT136)</f>
        <v>0</v>
      </c>
      <c r="AW136" s="18"/>
      <c r="AX136" s="19"/>
      <c r="AY136" s="19"/>
    </row>
    <row r="137" spans="1:51">
      <c r="A137" s="18"/>
      <c r="B137" s="14" t="s">
        <v>591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7"/>
      <c r="O137" s="77"/>
      <c r="P137" s="77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7"/>
        <v>0</v>
      </c>
      <c r="AW137" s="18"/>
      <c r="AX137" s="19"/>
      <c r="AY137" s="19"/>
    </row>
    <row r="138" spans="1:51">
      <c r="A138" s="18"/>
      <c r="B138" s="14" t="s">
        <v>592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7"/>
      <c r="O138" s="77"/>
      <c r="P138" s="77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7"/>
        <v>0</v>
      </c>
      <c r="AW138" s="18"/>
      <c r="AX138" s="19"/>
      <c r="AY138" s="19"/>
    </row>
    <row r="139" spans="1:51">
      <c r="A139" s="18"/>
      <c r="B139" s="14" t="s">
        <v>593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7"/>
      <c r="O139" s="77"/>
      <c r="P139" s="77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7"/>
        <v>0</v>
      </c>
      <c r="AW139" s="18"/>
      <c r="AX139" s="19"/>
      <c r="AY139" s="19"/>
    </row>
    <row r="140" spans="1:51">
      <c r="A140" s="18"/>
      <c r="B140" s="14" t="s">
        <v>594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7"/>
      <c r="O140" s="77"/>
      <c r="P140" s="77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7"/>
        <v>0</v>
      </c>
      <c r="AW140" s="18"/>
      <c r="AX140" s="19"/>
      <c r="AY140" s="19"/>
    </row>
    <row r="141" spans="1:51">
      <c r="A141" s="18"/>
      <c r="B141" s="14" t="s">
        <v>595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7"/>
      <c r="O141" s="77"/>
      <c r="P141" s="77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7"/>
        <v>0</v>
      </c>
      <c r="AW141" s="18"/>
      <c r="AX141" s="19"/>
      <c r="AY141" s="19"/>
    </row>
    <row r="142" spans="1:51">
      <c r="A142" s="18"/>
      <c r="B142" s="14" t="s">
        <v>596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7"/>
      <c r="O142" s="77"/>
      <c r="P142" s="77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7"/>
        <v>0</v>
      </c>
      <c r="AW142" s="18"/>
      <c r="AX142" s="19"/>
      <c r="AY142" s="19"/>
    </row>
    <row r="143" spans="1:51">
      <c r="A143" s="18"/>
      <c r="B143" s="14" t="s">
        <v>597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7"/>
      <c r="O143" s="77"/>
      <c r="P143" s="77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7"/>
        <v>0</v>
      </c>
      <c r="AW143" s="18"/>
      <c r="AX143" s="19"/>
      <c r="AY143" s="19"/>
    </row>
    <row r="144" spans="1:51">
      <c r="A144" s="18"/>
      <c r="B144" s="14" t="s">
        <v>598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7"/>
      <c r="O144" s="77"/>
      <c r="P144" s="77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7"/>
        <v>0</v>
      </c>
      <c r="AW144" s="18"/>
      <c r="AX144" s="19"/>
      <c r="AY144" s="19"/>
    </row>
    <row r="145" spans="1:51">
      <c r="A145" s="18"/>
      <c r="B145" s="14" t="s">
        <v>599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7"/>
      <c r="O145" s="77"/>
      <c r="P145" s="77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7"/>
        <v>0</v>
      </c>
      <c r="AW145" s="18"/>
      <c r="AX145" s="19"/>
      <c r="AY145" s="19"/>
    </row>
    <row r="146" spans="1:51">
      <c r="A146" s="18"/>
      <c r="B146" s="14" t="s">
        <v>600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7"/>
      <c r="O146" s="77"/>
      <c r="P146" s="77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7"/>
        <v>0</v>
      </c>
      <c r="AW146" s="18"/>
      <c r="AX146" s="19"/>
      <c r="AY146" s="19"/>
    </row>
    <row r="147" spans="1:51">
      <c r="A147" s="18"/>
      <c r="B147" s="14" t="s">
        <v>601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7"/>
      <c r="O147" s="77"/>
      <c r="P147" s="77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7"/>
        <v>0</v>
      </c>
      <c r="AW147" s="18"/>
      <c r="AX147" s="19"/>
      <c r="AY147" s="19"/>
    </row>
    <row r="148" spans="1:51">
      <c r="A148" s="18"/>
      <c r="B148" s="14" t="s">
        <v>602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7"/>
      <c r="O148" s="77"/>
      <c r="P148" s="77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7"/>
        <v>0</v>
      </c>
      <c r="AW148" s="18"/>
      <c r="AX148" s="19"/>
      <c r="AY148" s="19"/>
    </row>
    <row r="149" spans="1:51">
      <c r="A149" s="18"/>
      <c r="B149" s="14" t="s">
        <v>603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7"/>
      <c r="O149" s="77"/>
      <c r="P149" s="77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7"/>
        <v>0</v>
      </c>
      <c r="AW149" s="18"/>
      <c r="AX149" s="19"/>
      <c r="AY149" s="19"/>
    </row>
    <row r="150" spans="1:51">
      <c r="A150" s="18"/>
      <c r="B150" s="14" t="s">
        <v>604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7"/>
      <c r="O150" s="77"/>
      <c r="P150" s="77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7"/>
        <v>0</v>
      </c>
      <c r="AW150" s="18"/>
      <c r="AX150" s="19"/>
      <c r="AY150" s="19"/>
    </row>
    <row r="151" spans="1:51">
      <c r="A151" s="18"/>
      <c r="B151" s="14" t="s">
        <v>605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7"/>
      <c r="O151" s="77"/>
      <c r="P151" s="77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7"/>
        <v>0</v>
      </c>
      <c r="AW151" s="18"/>
      <c r="AX151" s="19"/>
      <c r="AY151" s="19"/>
    </row>
    <row r="152" spans="1:51">
      <c r="A152" s="18"/>
      <c r="B152" s="14" t="s">
        <v>606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7"/>
      <c r="O152" s="77"/>
      <c r="P152" s="77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7"/>
        <v>0</v>
      </c>
      <c r="AW152" s="18"/>
      <c r="AX152" s="19"/>
      <c r="AY152" s="19"/>
    </row>
    <row r="153" spans="1:51">
      <c r="A153" s="18"/>
      <c r="B153" s="14" t="s">
        <v>607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7"/>
      <c r="O153" s="77"/>
      <c r="P153" s="77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7"/>
        <v>0</v>
      </c>
      <c r="AW153" s="18"/>
      <c r="AX153" s="19"/>
      <c r="AY153" s="19"/>
    </row>
    <row r="154" spans="1:51">
      <c r="A154" s="18"/>
      <c r="B154" s="14" t="s">
        <v>608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7"/>
      <c r="O154" s="77"/>
      <c r="P154" s="77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7"/>
        <v>0</v>
      </c>
      <c r="AW154" s="18"/>
      <c r="AX154" s="19"/>
      <c r="AY154" s="19"/>
    </row>
    <row r="155" spans="1:51">
      <c r="A155" s="18"/>
      <c r="B155" s="14" t="s">
        <v>609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7"/>
      <c r="O155" s="77"/>
      <c r="P155" s="77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7"/>
        <v>0</v>
      </c>
      <c r="AW155" s="18"/>
      <c r="AX155" s="19"/>
      <c r="AY155" s="19"/>
    </row>
    <row r="156" spans="1:51">
      <c r="A156" s="18"/>
      <c r="B156" s="14" t="s">
        <v>610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7"/>
      <c r="O156" s="77"/>
      <c r="P156" s="77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7"/>
        <v>0</v>
      </c>
      <c r="AW156" s="18"/>
      <c r="AX156" s="19"/>
      <c r="AY156" s="19"/>
    </row>
    <row r="157" spans="1:51">
      <c r="A157" s="18"/>
      <c r="B157" s="14" t="s">
        <v>611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7"/>
      <c r="O157" s="77"/>
      <c r="P157" s="77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7"/>
        <v>0</v>
      </c>
      <c r="AW157" s="18"/>
      <c r="AX157" s="19"/>
      <c r="AY157" s="19"/>
    </row>
    <row r="158" spans="1:51">
      <c r="A158" s="18"/>
      <c r="B158" s="14" t="s">
        <v>612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7"/>
      <c r="O158" s="77"/>
      <c r="P158" s="77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7"/>
        <v>0</v>
      </c>
      <c r="AW158" s="18"/>
      <c r="AX158" s="19"/>
      <c r="AY158" s="19"/>
    </row>
    <row r="159" spans="1:51">
      <c r="A159" s="18"/>
      <c r="B159" s="14" t="s">
        <v>613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7"/>
      <c r="O159" s="77"/>
      <c r="P159" s="77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7"/>
        <v>0</v>
      </c>
      <c r="AW159" s="18"/>
      <c r="AX159" s="19"/>
      <c r="AY159" s="19"/>
    </row>
    <row r="160" spans="1:51">
      <c r="A160" s="18"/>
      <c r="B160" s="14" t="s">
        <v>614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7"/>
      <c r="O160" s="77"/>
      <c r="P160" s="77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7"/>
        <v>0</v>
      </c>
      <c r="AW160" s="18"/>
      <c r="AX160" s="19"/>
      <c r="AY160" s="19"/>
    </row>
    <row r="161" spans="1:51">
      <c r="A161" s="18"/>
      <c r="B161" s="14" t="s">
        <v>615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7"/>
      <c r="O161" s="77"/>
      <c r="P161" s="77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7"/>
        <v>0</v>
      </c>
      <c r="AW161" s="18"/>
      <c r="AX161" s="19"/>
      <c r="AY161" s="19"/>
    </row>
    <row r="162" spans="1:51">
      <c r="A162" s="18"/>
      <c r="B162" s="14" t="s">
        <v>616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7"/>
      <c r="O162" s="77"/>
      <c r="P162" s="77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7"/>
        <v>0</v>
      </c>
      <c r="AW162" s="18"/>
      <c r="AX162" s="19"/>
      <c r="AY162" s="19"/>
    </row>
    <row r="163" spans="1:51">
      <c r="A163" s="18"/>
      <c r="B163" s="14" t="s">
        <v>617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7"/>
      <c r="O163" s="77"/>
      <c r="P163" s="77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7"/>
        <v>0</v>
      </c>
      <c r="AW163" s="18"/>
      <c r="AX163" s="19"/>
      <c r="AY163" s="19"/>
    </row>
    <row r="164" spans="1:51">
      <c r="A164" s="18"/>
      <c r="B164" s="14" t="s">
        <v>618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7"/>
      <c r="O164" s="77"/>
      <c r="P164" s="77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7"/>
        <v>0</v>
      </c>
      <c r="AW164" s="18"/>
      <c r="AX164" s="19"/>
      <c r="AY164" s="19"/>
    </row>
    <row r="165" spans="1:51">
      <c r="A165" s="18"/>
      <c r="B165" s="14" t="s">
        <v>619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7"/>
      <c r="O165" s="77"/>
      <c r="P165" s="77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7"/>
        <v>0</v>
      </c>
      <c r="AW165" s="18"/>
      <c r="AX165" s="19"/>
      <c r="AY165" s="19"/>
    </row>
    <row r="166" spans="1:51">
      <c r="A166" s="18"/>
      <c r="B166" s="14" t="s">
        <v>620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7"/>
      <c r="O166" s="77"/>
      <c r="P166" s="77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7"/>
        <v>0</v>
      </c>
      <c r="AW166" s="18"/>
      <c r="AX166" s="19"/>
      <c r="AY166" s="19"/>
    </row>
    <row r="167" spans="1:51">
      <c r="A167" s="18"/>
      <c r="B167" s="14" t="s">
        <v>621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7"/>
      <c r="O167" s="77"/>
      <c r="P167" s="77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7"/>
        <v>0</v>
      </c>
      <c r="AW167" s="18"/>
      <c r="AX167" s="19"/>
      <c r="AY167" s="19"/>
    </row>
    <row r="168" spans="1:51">
      <c r="A168" s="18"/>
      <c r="B168" s="14" t="s">
        <v>622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7"/>
      <c r="O168" s="77"/>
      <c r="P168" s="77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7"/>
        <v>0</v>
      </c>
      <c r="AW168" s="18"/>
      <c r="AX168" s="19"/>
      <c r="AY168" s="19"/>
    </row>
    <row r="169" spans="1:51">
      <c r="A169" s="18"/>
      <c r="B169" s="14" t="s">
        <v>623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7"/>
      <c r="O169" s="77"/>
      <c r="P169" s="77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7"/>
        <v>0</v>
      </c>
      <c r="AW169" s="18"/>
      <c r="AX169" s="19"/>
      <c r="AY169" s="19"/>
    </row>
    <row r="170" spans="1:51">
      <c r="A170" s="18"/>
      <c r="B170" s="14" t="s">
        <v>624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7"/>
      <c r="O170" s="77"/>
      <c r="P170" s="77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7"/>
        <v>0</v>
      </c>
      <c r="AW170" s="18"/>
      <c r="AX170" s="19"/>
      <c r="AY170" s="19"/>
    </row>
    <row r="171" spans="1:51">
      <c r="A171" s="18"/>
      <c r="B171" s="14" t="s">
        <v>625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7"/>
      <c r="O171" s="77"/>
      <c r="P171" s="77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7"/>
        <v>0</v>
      </c>
      <c r="AW171" s="18"/>
      <c r="AX171" s="19"/>
      <c r="AY171" s="19"/>
    </row>
    <row r="172" spans="1:51">
      <c r="A172" s="18"/>
      <c r="B172" s="14" t="s">
        <v>626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7"/>
      <c r="O172" s="77"/>
      <c r="P172" s="77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7"/>
        <v>0</v>
      </c>
      <c r="AW172" s="18"/>
      <c r="AX172" s="19"/>
      <c r="AY172" s="19"/>
    </row>
    <row r="173" spans="1:51">
      <c r="A173" s="18"/>
      <c r="B173" s="14" t="s">
        <v>627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7"/>
      <c r="O173" s="77"/>
      <c r="P173" s="77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7"/>
        <v>0</v>
      </c>
      <c r="AW173" s="18"/>
      <c r="AX173" s="19"/>
      <c r="AY173" s="19"/>
    </row>
    <row r="174" spans="1:51">
      <c r="A174" s="18"/>
      <c r="B174" s="14" t="s">
        <v>628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7"/>
      <c r="O174" s="77"/>
      <c r="P174" s="77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7"/>
        <v>0</v>
      </c>
      <c r="AW174" s="18"/>
      <c r="AX174" s="19"/>
      <c r="AY174" s="19"/>
    </row>
    <row r="175" spans="1:51">
      <c r="A175" s="18"/>
      <c r="B175" s="14" t="s">
        <v>629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7"/>
      <c r="O175" s="77"/>
      <c r="P175" s="77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7"/>
        <v>0</v>
      </c>
      <c r="AW175" s="18"/>
      <c r="AX175" s="19"/>
      <c r="AY175" s="19"/>
    </row>
    <row r="176" spans="1:51">
      <c r="A176" s="18"/>
      <c r="B176" s="14" t="s">
        <v>630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7"/>
      <c r="O176" s="77"/>
      <c r="P176" s="77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7"/>
        <v>0</v>
      </c>
      <c r="AW176" s="18"/>
      <c r="AX176" s="19"/>
      <c r="AY176" s="19"/>
    </row>
    <row r="177" spans="1:51">
      <c r="A177" s="18"/>
      <c r="B177" s="14" t="s">
        <v>631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7"/>
      <c r="O177" s="77"/>
      <c r="P177" s="77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7"/>
        <v>0</v>
      </c>
      <c r="AW177" s="18"/>
      <c r="AX177" s="19"/>
      <c r="AY177" s="19"/>
    </row>
    <row r="178" spans="1:51">
      <c r="A178" s="18"/>
      <c r="B178" s="14" t="s">
        <v>632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7"/>
      <c r="O178" s="77"/>
      <c r="P178" s="77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7"/>
        <v>0</v>
      </c>
      <c r="AW178" s="18"/>
      <c r="AX178" s="19"/>
      <c r="AY178" s="19"/>
    </row>
    <row r="179" spans="1:51">
      <c r="A179" s="18"/>
      <c r="B179" s="14" t="s">
        <v>633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7"/>
      <c r="O179" s="77"/>
      <c r="P179" s="77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7"/>
        <v>0</v>
      </c>
      <c r="AW179" s="18"/>
      <c r="AX179" s="19"/>
      <c r="AY179" s="19"/>
    </row>
    <row r="180" spans="1:51">
      <c r="A180" s="18"/>
      <c r="B180" s="14" t="s">
        <v>634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7"/>
      <c r="O180" s="77"/>
      <c r="P180" s="77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7"/>
        <v>0</v>
      </c>
      <c r="AW180" s="18"/>
      <c r="AX180" s="19"/>
      <c r="AY180" s="19"/>
    </row>
    <row r="181" spans="1:51">
      <c r="A181" s="18"/>
      <c r="B181" s="14" t="s">
        <v>635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7"/>
      <c r="O181" s="77"/>
      <c r="P181" s="77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7"/>
        <v>0</v>
      </c>
      <c r="AW181" s="18"/>
      <c r="AX181" s="19"/>
      <c r="AY181" s="19"/>
    </row>
    <row r="182" spans="1:51">
      <c r="A182" s="18"/>
      <c r="B182" s="14" t="s">
        <v>636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7"/>
      <c r="O182" s="77"/>
      <c r="P182" s="77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7"/>
        <v>0</v>
      </c>
      <c r="AW182" s="18"/>
      <c r="AX182" s="19"/>
      <c r="AY182" s="19"/>
    </row>
    <row r="183" spans="1:51">
      <c r="A183" s="18"/>
      <c r="B183" s="14" t="s">
        <v>637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7"/>
      <c r="O183" s="77"/>
      <c r="P183" s="77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7"/>
        <v>0</v>
      </c>
      <c r="AW183" s="18"/>
      <c r="AX183" s="19"/>
      <c r="AY183" s="19"/>
    </row>
    <row r="184" spans="1:51">
      <c r="A184" s="18"/>
      <c r="B184" s="14" t="s">
        <v>638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7"/>
      <c r="O184" s="77"/>
      <c r="P184" s="77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7"/>
        <v>0</v>
      </c>
      <c r="AW184" s="18"/>
      <c r="AX184" s="19"/>
      <c r="AY184" s="19"/>
    </row>
    <row r="185" spans="1:51">
      <c r="A185" s="18"/>
      <c r="B185" s="14" t="s">
        <v>639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7"/>
      <c r="O185" s="77"/>
      <c r="P185" s="77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7"/>
        <v>0</v>
      </c>
      <c r="AW185" s="18"/>
      <c r="AX185" s="19"/>
      <c r="AY185" s="19"/>
    </row>
    <row r="186" spans="1:51">
      <c r="A186" s="18"/>
      <c r="B186" s="14" t="s">
        <v>640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7"/>
      <c r="O186" s="77"/>
      <c r="P186" s="77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7"/>
        <v>0</v>
      </c>
      <c r="AW186" s="18"/>
      <c r="AX186" s="19"/>
      <c r="AY186" s="19"/>
    </row>
    <row r="187" spans="1:51">
      <c r="A187" s="18"/>
      <c r="B187" s="14" t="s">
        <v>641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7"/>
      <c r="O187" s="77"/>
      <c r="P187" s="77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7"/>
        <v>0</v>
      </c>
      <c r="AW187" s="18"/>
      <c r="AX187" s="19"/>
      <c r="AY187" s="19"/>
    </row>
    <row r="188" spans="1:51">
      <c r="A188" s="18"/>
      <c r="B188" s="14" t="s">
        <v>642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7"/>
      <c r="O188" s="77"/>
      <c r="P188" s="77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7"/>
        <v>0</v>
      </c>
      <c r="AW188" s="18"/>
      <c r="AX188" s="19"/>
      <c r="AY188" s="19"/>
    </row>
    <row r="189" spans="1:51">
      <c r="A189" s="18"/>
      <c r="B189" s="14" t="s">
        <v>643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7"/>
      <c r="O189" s="77"/>
      <c r="P189" s="77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7"/>
        <v>0</v>
      </c>
      <c r="AW189" s="18"/>
      <c r="AX189" s="19"/>
      <c r="AY189" s="19"/>
    </row>
    <row r="190" spans="1:51">
      <c r="A190" s="18"/>
      <c r="B190" s="14" t="s">
        <v>644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7"/>
      <c r="O190" s="77"/>
      <c r="P190" s="77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7"/>
        <v>0</v>
      </c>
      <c r="AW190" s="18"/>
      <c r="AX190" s="19"/>
      <c r="AY190" s="19"/>
    </row>
    <row r="191" spans="1:51">
      <c r="A191" s="18"/>
      <c r="B191" s="14" t="s">
        <v>645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7"/>
      <c r="O191" s="77"/>
      <c r="P191" s="77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7"/>
        <v>0</v>
      </c>
      <c r="AW191" s="18"/>
      <c r="AX191" s="19"/>
      <c r="AY191" s="19"/>
    </row>
    <row r="192" spans="1:51">
      <c r="A192" s="18"/>
      <c r="B192" s="14" t="s">
        <v>646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7"/>
      <c r="O192" s="77"/>
      <c r="P192" s="77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7"/>
        <v>0</v>
      </c>
      <c r="AW192" s="18"/>
      <c r="AX192" s="19"/>
      <c r="AY192" s="19"/>
    </row>
    <row r="193" spans="1:51">
      <c r="A193" s="18"/>
      <c r="B193" s="14" t="s">
        <v>647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7"/>
      <c r="O193" s="77"/>
      <c r="P193" s="77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7"/>
        <v>0</v>
      </c>
      <c r="AW193" s="18"/>
      <c r="AX193" s="19"/>
      <c r="AY193" s="19"/>
    </row>
    <row r="194" spans="1:51">
      <c r="A194" s="18"/>
      <c r="B194" s="14" t="s">
        <v>648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7"/>
      <c r="O194" s="77"/>
      <c r="P194" s="77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7"/>
        <v>0</v>
      </c>
      <c r="AW194" s="18"/>
      <c r="AX194" s="19"/>
      <c r="AY194" s="19"/>
    </row>
    <row r="195" spans="1:51">
      <c r="A195" s="18"/>
      <c r="B195" s="14" t="s">
        <v>649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7"/>
      <c r="O195" s="77"/>
      <c r="P195" s="77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7"/>
        <v>0</v>
      </c>
      <c r="AW195" s="18"/>
      <c r="AX195" s="19"/>
      <c r="AY195" s="19"/>
    </row>
    <row r="196" spans="1:51">
      <c r="A196" s="18"/>
      <c r="B196" s="14" t="s">
        <v>650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7"/>
      <c r="O196" s="77"/>
      <c r="P196" s="77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7"/>
        <v>0</v>
      </c>
      <c r="AW196" s="18"/>
      <c r="AX196" s="19"/>
      <c r="AY196" s="19"/>
    </row>
    <row r="197" spans="1:51">
      <c r="A197" s="18"/>
      <c r="B197" s="14" t="s">
        <v>651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7"/>
      <c r="O197" s="77"/>
      <c r="P197" s="77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7"/>
        <v>0</v>
      </c>
      <c r="AW197" s="18"/>
      <c r="AX197" s="19"/>
      <c r="AY197" s="19"/>
    </row>
    <row r="198" spans="1:51">
      <c r="A198" s="18"/>
      <c r="B198" s="14" t="s">
        <v>652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7"/>
      <c r="O198" s="77"/>
      <c r="P198" s="77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7"/>
        <v>0</v>
      </c>
      <c r="AW198" s="18"/>
      <c r="AX198" s="19"/>
      <c r="AY198" s="19"/>
    </row>
    <row r="199" spans="1:51">
      <c r="A199" s="18"/>
      <c r="B199" s="14" t="s">
        <v>653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7"/>
      <c r="O199" s="77"/>
      <c r="P199" s="77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7"/>
        <v>0</v>
      </c>
      <c r="AW199" s="18"/>
      <c r="AX199" s="19"/>
      <c r="AY199" s="19"/>
    </row>
    <row r="200" spans="1:51">
      <c r="A200" s="18"/>
      <c r="B200" s="14" t="s">
        <v>654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7"/>
      <c r="O200" s="77"/>
      <c r="P200" s="77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8">-SUM(R200:AT200)</f>
        <v>0</v>
      </c>
      <c r="AW200" s="18"/>
      <c r="AX200" s="19"/>
      <c r="AY200" s="19"/>
    </row>
    <row r="201" spans="1:51">
      <c r="A201" s="18"/>
      <c r="B201" s="14" t="s">
        <v>655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7"/>
      <c r="O201" s="77"/>
      <c r="P201" s="77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8"/>
        <v>0</v>
      </c>
      <c r="AW201" s="18"/>
      <c r="AX201" s="19"/>
      <c r="AY201" s="19"/>
    </row>
    <row r="202" spans="1:51">
      <c r="A202" s="18"/>
      <c r="B202" s="14" t="s">
        <v>656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7"/>
      <c r="O202" s="77"/>
      <c r="P202" s="77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8"/>
        <v>0</v>
      </c>
      <c r="AW202" s="18"/>
      <c r="AX202" s="19"/>
      <c r="AY202" s="19"/>
    </row>
    <row r="203" spans="1:51">
      <c r="A203" s="18"/>
      <c r="B203" s="14" t="s">
        <v>657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7"/>
      <c r="O203" s="77"/>
      <c r="P203" s="77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8"/>
        <v>0</v>
      </c>
      <c r="AW203" s="18"/>
      <c r="AX203" s="19"/>
      <c r="AY203" s="19"/>
    </row>
    <row r="204" spans="1:51">
      <c r="A204" s="18"/>
      <c r="B204" s="14" t="s">
        <v>658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7"/>
      <c r="O204" s="77"/>
      <c r="P204" s="77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8"/>
        <v>0</v>
      </c>
      <c r="AW204" s="18"/>
      <c r="AX204" s="19"/>
      <c r="AY204" s="19"/>
    </row>
    <row r="205" spans="1:51">
      <c r="A205" s="18"/>
      <c r="B205" s="14" t="s">
        <v>659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7"/>
      <c r="O205" s="77"/>
      <c r="P205" s="77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8"/>
        <v>0</v>
      </c>
      <c r="AW205" s="18"/>
      <c r="AX205" s="19"/>
      <c r="AY205" s="19"/>
    </row>
    <row r="206" spans="1:51">
      <c r="A206" s="18"/>
      <c r="B206" s="14" t="s">
        <v>660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7"/>
      <c r="O206" s="77"/>
      <c r="P206" s="77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8"/>
        <v>0</v>
      </c>
      <c r="AW206" s="18"/>
      <c r="AX206" s="19"/>
      <c r="AY206" s="19"/>
    </row>
    <row r="207" spans="1:51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7"/>
      <c r="O207" s="77"/>
      <c r="P207" s="77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0.8" thickBot="1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9">SUM(S7:S207)</f>
        <v>39444.202499999999</v>
      </c>
      <c r="T208" s="25">
        <f t="shared" si="9"/>
        <v>-14503.962364285713</v>
      </c>
      <c r="U208" s="25">
        <f t="shared" si="9"/>
        <v>0</v>
      </c>
      <c r="V208" s="25">
        <f t="shared" si="9"/>
        <v>30170.17</v>
      </c>
      <c r="W208" s="25">
        <f t="shared" si="9"/>
        <v>168501.07142857142</v>
      </c>
      <c r="X208" s="25">
        <f t="shared" si="9"/>
        <v>2999.9999999999995</v>
      </c>
      <c r="Y208" s="25">
        <f t="shared" si="9"/>
        <v>25462.330357142855</v>
      </c>
      <c r="Z208" s="25">
        <f t="shared" si="9"/>
        <v>14999.999999999998</v>
      </c>
      <c r="AA208" s="25">
        <f t="shared" si="9"/>
        <v>142833.1464285714</v>
      </c>
      <c r="AB208" s="25">
        <f t="shared" si="9"/>
        <v>18467.589285714283</v>
      </c>
      <c r="AC208" s="25">
        <f t="shared" si="9"/>
        <v>0</v>
      </c>
      <c r="AD208" s="25">
        <f t="shared" si="9"/>
        <v>1513.3928571428571</v>
      </c>
      <c r="AE208" s="25">
        <f t="shared" si="9"/>
        <v>1607.1428571428569</v>
      </c>
      <c r="AF208" s="25">
        <f t="shared" si="9"/>
        <v>941.96428571428567</v>
      </c>
      <c r="AG208" s="25">
        <f t="shared" si="9"/>
        <v>876.16964285714278</v>
      </c>
      <c r="AH208" s="25">
        <f t="shared" si="9"/>
        <v>12364.285714285714</v>
      </c>
      <c r="AI208" s="25">
        <f t="shared" si="9"/>
        <v>0</v>
      </c>
      <c r="AJ208" s="25">
        <f t="shared" si="9"/>
        <v>0</v>
      </c>
      <c r="AK208" s="25">
        <f t="shared" si="9"/>
        <v>10375.250000000002</v>
      </c>
      <c r="AL208" s="25">
        <f t="shared" si="9"/>
        <v>0</v>
      </c>
      <c r="AM208" s="25">
        <f t="shared" si="9"/>
        <v>0</v>
      </c>
      <c r="AN208" s="25">
        <f t="shared" si="9"/>
        <v>0</v>
      </c>
      <c r="AO208" s="25">
        <f t="shared" si="9"/>
        <v>0</v>
      </c>
      <c r="AP208" s="25">
        <f t="shared" si="9"/>
        <v>0</v>
      </c>
      <c r="AQ208" s="25">
        <f t="shared" si="9"/>
        <v>0</v>
      </c>
      <c r="AR208" s="25">
        <f t="shared" si="9"/>
        <v>0</v>
      </c>
      <c r="AS208" s="25">
        <f t="shared" si="9"/>
        <v>13948.294642857141</v>
      </c>
      <c r="AU208" s="25">
        <f>SUM(AU7:AU207)</f>
        <v>-470001.04763571429</v>
      </c>
      <c r="AW208" s="25" t="s">
        <v>168</v>
      </c>
      <c r="AX208" s="25" t="s">
        <v>168</v>
      </c>
      <c r="AY208" s="25">
        <f t="shared" ref="AY208" si="10">SUM(AY7:AY207)</f>
        <v>0</v>
      </c>
    </row>
    <row r="209" spans="47:47" ht="10.8" thickTop="1"/>
    <row r="210" spans="47:47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209"/>
  <sheetViews>
    <sheetView workbookViewId="0">
      <pane xSplit="2" ySplit="6" topLeftCell="AA172" activePane="bottomRight" state="frozen"/>
      <selection pane="topRight" activeCell="C1" sqref="C1"/>
      <selection pane="bottomLeft" activeCell="A7" sqref="A7"/>
      <selection pane="bottomRight" activeCell="AJ208" sqref="AJ208"/>
    </sheetView>
  </sheetViews>
  <sheetFormatPr defaultRowHeight="10.199999999999999"/>
  <cols>
    <col min="1" max="1" width="10.5546875" style="2" customWidth="1"/>
    <col min="2" max="2" width="8.88671875" style="2"/>
    <col min="3" max="3" width="10.44140625" style="2" bestFit="1" customWidth="1"/>
    <col min="4" max="4" width="9.33203125" style="2" customWidth="1"/>
    <col min="5" max="5" width="33.21875" style="2" customWidth="1"/>
    <col min="6" max="6" width="15.109375" style="2" bestFit="1" customWidth="1"/>
    <col min="7" max="7" width="36.6640625" style="2" bestFit="1" customWidth="1"/>
    <col min="8" max="8" width="0.5546875" style="2" customWidth="1"/>
    <col min="9" max="13" width="13" style="2" customWidth="1"/>
    <col min="14" max="14" width="6.44140625" style="2" bestFit="1" customWidth="1"/>
    <col min="15" max="15" width="6.44140625" style="33" customWidth="1"/>
    <col min="16" max="16" width="0.5546875" style="2" customWidth="1"/>
    <col min="17" max="34" width="16.5546875" style="2" customWidth="1"/>
    <col min="35" max="35" width="0.44140625" style="2" customWidth="1"/>
    <col min="36" max="36" width="16.5546875" style="2" customWidth="1"/>
    <col min="37" max="16384" width="8.88671875" style="2"/>
  </cols>
  <sheetData>
    <row r="1" spans="1:37">
      <c r="A1" s="1" t="s">
        <v>0</v>
      </c>
    </row>
    <row r="2" spans="1:37">
      <c r="A2" s="1" t="s">
        <v>1</v>
      </c>
    </row>
    <row r="3" spans="1:37">
      <c r="A3" s="1" t="s">
        <v>54</v>
      </c>
    </row>
    <row r="5" spans="1:37" s="6" customFormat="1" ht="20.399999999999999">
      <c r="A5" s="79" t="str">
        <f>MID(WTB!H7,5,LEN(WTB!H7))</f>
        <v>GJ 1810-001</v>
      </c>
      <c r="B5" s="3"/>
      <c r="C5" s="3"/>
      <c r="D5" s="3"/>
      <c r="E5" s="3"/>
      <c r="F5" s="3"/>
      <c r="G5" s="3"/>
      <c r="H5" s="3"/>
      <c r="I5" s="145" t="s">
        <v>40</v>
      </c>
      <c r="J5" s="145" t="s">
        <v>41</v>
      </c>
      <c r="K5" s="145" t="s">
        <v>42</v>
      </c>
      <c r="L5" s="145" t="s">
        <v>43</v>
      </c>
      <c r="M5" s="145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5" t="str">
        <f>INDEX(WTB!$A:$B,MATCH(AA$6,WTB!$A:$A,),2)</f>
        <v>UTENSILS / EQUIPMENT</v>
      </c>
      <c r="AB5" s="75" t="str">
        <f>INDEX(WTB!$A:$B,MATCH(AB$6,WTB!$A:$A,),2)</f>
        <v>Repairs and Maintenance</v>
      </c>
      <c r="AC5" s="75" t="str">
        <f>INDEX(WTB!$A:$B,MATCH(AC$6,WTB!$A:$A,),2)</f>
        <v>Photocopy</v>
      </c>
      <c r="AD5" s="75" t="str">
        <f>INDEX(WTB!$A:$B,MATCH(AD$6,WTB!$A:$A,),2)</f>
        <v>TRANSPO</v>
      </c>
      <c r="AE5" s="75" t="str">
        <f>INDEX(WTB!$A:$B,MATCH(AE$6,WTB!$A:$A,),2)</f>
        <v>Salaries and Wages</v>
      </c>
      <c r="AF5" s="75" t="str">
        <f>INDEX(WTB!$A:$B,MATCH(AF$6,WTB!$A:$A,),2)</f>
        <v>Marketing Expense</v>
      </c>
      <c r="AG5" s="75" t="str">
        <f>INDEX(WTB!$A:$B,MATCH(AG$6,WTB!$A:$A,),2)</f>
        <v>Miscellaneous</v>
      </c>
      <c r="AH5" s="75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46"/>
      <c r="J6" s="146"/>
      <c r="K6" s="146"/>
      <c r="L6" s="146"/>
      <c r="M6" s="146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6">
        <v>6211</v>
      </c>
      <c r="AB6" s="76">
        <v>6223</v>
      </c>
      <c r="AC6" s="76">
        <v>6231</v>
      </c>
      <c r="AD6" s="76">
        <v>6230</v>
      </c>
      <c r="AE6" s="76">
        <v>6101</v>
      </c>
      <c r="AF6" s="76">
        <v>6317</v>
      </c>
      <c r="AG6" s="76">
        <v>6999</v>
      </c>
      <c r="AH6" s="76">
        <v>6109</v>
      </c>
      <c r="AI6" s="8"/>
      <c r="AJ6" s="7">
        <v>1111</v>
      </c>
      <c r="AK6" s="8"/>
    </row>
    <row r="7" spans="1:37">
      <c r="A7" s="9">
        <v>43374</v>
      </c>
      <c r="B7" s="10" t="s">
        <v>661</v>
      </c>
      <c r="C7" s="11">
        <v>2670</v>
      </c>
      <c r="D7" s="11"/>
      <c r="E7" s="12" t="s">
        <v>421</v>
      </c>
      <c r="F7" s="12" t="s">
        <v>422</v>
      </c>
      <c r="G7" s="10" t="s">
        <v>785</v>
      </c>
      <c r="H7" s="10"/>
      <c r="I7" s="13"/>
      <c r="J7" s="13"/>
      <c r="K7" s="13">
        <v>1890</v>
      </c>
      <c r="L7" s="13"/>
      <c r="M7" s="13">
        <f>I7+J7+K7+L7/1.12</f>
        <v>1890</v>
      </c>
      <c r="N7" s="10"/>
      <c r="O7" s="139"/>
      <c r="P7" s="10"/>
      <c r="Q7" s="13">
        <v>0</v>
      </c>
      <c r="R7" s="13">
        <v>0</v>
      </c>
      <c r="S7" s="13">
        <v>1890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J7" s="13">
        <f>-SUM(P7:AI7)</f>
        <v>-1890</v>
      </c>
      <c r="AK7" s="105"/>
    </row>
    <row r="8" spans="1:37">
      <c r="A8" s="9">
        <v>43374</v>
      </c>
      <c r="B8" s="10" t="s">
        <v>662</v>
      </c>
      <c r="C8" s="11"/>
      <c r="D8" s="11"/>
      <c r="E8" s="12" t="s">
        <v>424</v>
      </c>
      <c r="F8" s="12"/>
      <c r="G8" s="10" t="s">
        <v>459</v>
      </c>
      <c r="H8" s="10"/>
      <c r="I8" s="13">
        <v>40</v>
      </c>
      <c r="J8" s="13"/>
      <c r="K8" s="13"/>
      <c r="L8" s="13"/>
      <c r="M8" s="13">
        <f t="shared" ref="M8:M71" si="0">I8+J8+K8+L8/1.12</f>
        <v>40</v>
      </c>
      <c r="N8" s="10"/>
      <c r="O8" s="139"/>
      <c r="P8" s="10"/>
      <c r="Q8" s="13">
        <v>0</v>
      </c>
      <c r="R8" s="13">
        <v>0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>
        <v>40</v>
      </c>
      <c r="AE8" s="13"/>
      <c r="AF8" s="13"/>
      <c r="AG8" s="13"/>
      <c r="AH8" s="13"/>
      <c r="AJ8" s="13">
        <f t="shared" ref="AJ8:AJ71" si="1">-SUM(P8:AI8)</f>
        <v>-40</v>
      </c>
      <c r="AK8" s="105"/>
    </row>
    <row r="9" spans="1:37">
      <c r="A9" s="9">
        <v>43374</v>
      </c>
      <c r="B9" s="10" t="s">
        <v>663</v>
      </c>
      <c r="C9" s="11">
        <v>158983</v>
      </c>
      <c r="D9" s="11"/>
      <c r="E9" s="12" t="s">
        <v>773</v>
      </c>
      <c r="F9" s="12" t="s">
        <v>429</v>
      </c>
      <c r="G9" s="10" t="s">
        <v>786</v>
      </c>
      <c r="H9" s="10"/>
      <c r="I9" s="13"/>
      <c r="J9" s="13"/>
      <c r="K9" s="13"/>
      <c r="L9" s="13">
        <v>580</v>
      </c>
      <c r="M9" s="13">
        <f t="shared" si="0"/>
        <v>517.85714285714278</v>
      </c>
      <c r="N9" s="10"/>
      <c r="O9" s="139"/>
      <c r="P9" s="10"/>
      <c r="Q9" s="13">
        <v>62.142857142857132</v>
      </c>
      <c r="R9" s="13">
        <v>0</v>
      </c>
      <c r="S9" s="13"/>
      <c r="T9" s="13"/>
      <c r="U9" s="13"/>
      <c r="V9" s="13">
        <v>517.86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J9" s="13">
        <f t="shared" si="1"/>
        <v>-580.00285714285712</v>
      </c>
      <c r="AK9" s="105"/>
    </row>
    <row r="10" spans="1:37">
      <c r="A10" s="9">
        <v>43374</v>
      </c>
      <c r="B10" s="10" t="s">
        <v>664</v>
      </c>
      <c r="C10" s="11"/>
      <c r="D10" s="11"/>
      <c r="E10" s="12" t="s">
        <v>774</v>
      </c>
      <c r="F10" s="12"/>
      <c r="G10" s="10" t="s">
        <v>787</v>
      </c>
      <c r="H10" s="10"/>
      <c r="I10" s="13"/>
      <c r="J10" s="13"/>
      <c r="K10" s="13">
        <v>1605</v>
      </c>
      <c r="L10" s="13"/>
      <c r="M10" s="13">
        <f t="shared" si="0"/>
        <v>1605</v>
      </c>
      <c r="N10" s="10"/>
      <c r="O10" s="139"/>
      <c r="P10" s="10"/>
      <c r="Q10" s="13">
        <v>0</v>
      </c>
      <c r="R10" s="13">
        <v>0</v>
      </c>
      <c r="S10" s="13">
        <v>1605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J10" s="13">
        <f t="shared" si="1"/>
        <v>-1605</v>
      </c>
      <c r="AK10" s="105"/>
    </row>
    <row r="11" spans="1:37">
      <c r="A11" s="9">
        <v>43374</v>
      </c>
      <c r="B11" s="10" t="s">
        <v>665</v>
      </c>
      <c r="C11" s="11"/>
      <c r="D11" s="11"/>
      <c r="E11" s="12" t="s">
        <v>423</v>
      </c>
      <c r="F11" s="12"/>
      <c r="G11" s="10" t="s">
        <v>788</v>
      </c>
      <c r="H11" s="10"/>
      <c r="I11" s="13">
        <v>100</v>
      </c>
      <c r="J11" s="13"/>
      <c r="K11" s="13"/>
      <c r="L11" s="13"/>
      <c r="M11" s="13">
        <f t="shared" si="0"/>
        <v>100</v>
      </c>
      <c r="N11" s="10"/>
      <c r="O11" s="139"/>
      <c r="P11" s="10"/>
      <c r="Q11" s="13">
        <v>0</v>
      </c>
      <c r="R11" s="13">
        <v>0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>
        <v>100</v>
      </c>
      <c r="AE11" s="13"/>
      <c r="AF11" s="13"/>
      <c r="AG11" s="13"/>
      <c r="AH11" s="13"/>
      <c r="AJ11" s="13">
        <f t="shared" si="1"/>
        <v>-100</v>
      </c>
      <c r="AK11" s="105"/>
    </row>
    <row r="12" spans="1:37">
      <c r="A12" s="9">
        <v>43374</v>
      </c>
      <c r="B12" s="10" t="s">
        <v>666</v>
      </c>
      <c r="C12" s="11"/>
      <c r="D12" s="11"/>
      <c r="E12" s="12" t="s">
        <v>448</v>
      </c>
      <c r="F12" s="12"/>
      <c r="G12" s="10" t="s">
        <v>789</v>
      </c>
      <c r="H12" s="10"/>
      <c r="I12" s="13">
        <v>570</v>
      </c>
      <c r="J12" s="13"/>
      <c r="K12" s="13"/>
      <c r="L12" s="13"/>
      <c r="M12" s="13">
        <f t="shared" si="0"/>
        <v>570</v>
      </c>
      <c r="N12" s="10"/>
      <c r="O12" s="139"/>
      <c r="P12" s="10"/>
      <c r="Q12" s="13">
        <v>0</v>
      </c>
      <c r="R12" s="13">
        <v>0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v>570</v>
      </c>
      <c r="AH12" s="13"/>
      <c r="AJ12" s="13">
        <f t="shared" si="1"/>
        <v>-570</v>
      </c>
      <c r="AK12" s="105"/>
    </row>
    <row r="13" spans="1:37">
      <c r="A13" s="9">
        <v>43374</v>
      </c>
      <c r="B13" s="10" t="s">
        <v>667</v>
      </c>
      <c r="C13" s="11">
        <v>110855</v>
      </c>
      <c r="D13" s="11"/>
      <c r="E13" s="12" t="s">
        <v>426</v>
      </c>
      <c r="F13" s="12" t="s">
        <v>427</v>
      </c>
      <c r="G13" s="10" t="s">
        <v>437</v>
      </c>
      <c r="H13" s="10"/>
      <c r="I13" s="13"/>
      <c r="J13" s="13"/>
      <c r="K13" s="13"/>
      <c r="L13" s="13">
        <v>170</v>
      </c>
      <c r="M13" s="13">
        <f t="shared" si="0"/>
        <v>151.78571428571428</v>
      </c>
      <c r="N13" s="10"/>
      <c r="O13" s="139"/>
      <c r="P13" s="10"/>
      <c r="Q13" s="13">
        <v>18.214285714285712</v>
      </c>
      <c r="R13" s="13">
        <v>0</v>
      </c>
      <c r="S13" s="13"/>
      <c r="T13" s="13">
        <v>151.79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J13" s="13">
        <f t="shared" si="1"/>
        <v>-170.00428571428571</v>
      </c>
      <c r="AK13" s="105"/>
    </row>
    <row r="14" spans="1:37">
      <c r="A14" s="9">
        <v>43374</v>
      </c>
      <c r="B14" s="10" t="s">
        <v>668</v>
      </c>
      <c r="C14" s="11">
        <v>117875</v>
      </c>
      <c r="D14" s="11"/>
      <c r="E14" s="12" t="s">
        <v>430</v>
      </c>
      <c r="F14" s="12" t="s">
        <v>431</v>
      </c>
      <c r="G14" s="10" t="s">
        <v>790</v>
      </c>
      <c r="H14" s="10"/>
      <c r="I14" s="13"/>
      <c r="J14" s="13"/>
      <c r="K14" s="13">
        <v>62.5</v>
      </c>
      <c r="L14" s="13"/>
      <c r="M14" s="13">
        <f t="shared" si="0"/>
        <v>62.5</v>
      </c>
      <c r="N14" s="10"/>
      <c r="O14" s="139"/>
      <c r="P14" s="10"/>
      <c r="Q14" s="13">
        <v>0</v>
      </c>
      <c r="R14" s="13">
        <v>0</v>
      </c>
      <c r="S14" s="13">
        <v>62.5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3">
        <f t="shared" si="1"/>
        <v>-62.5</v>
      </c>
      <c r="AK14" s="105"/>
    </row>
    <row r="15" spans="1:37">
      <c r="A15" s="9">
        <v>43374</v>
      </c>
      <c r="B15" s="10" t="s">
        <v>669</v>
      </c>
      <c r="C15" s="11">
        <v>117875</v>
      </c>
      <c r="D15" s="11"/>
      <c r="E15" s="12" t="s">
        <v>430</v>
      </c>
      <c r="F15" s="12" t="s">
        <v>431</v>
      </c>
      <c r="G15" s="10" t="s">
        <v>791</v>
      </c>
      <c r="H15" s="10"/>
      <c r="I15" s="13"/>
      <c r="J15" s="13"/>
      <c r="K15" s="13"/>
      <c r="L15" s="13">
        <v>1831.3500000000001</v>
      </c>
      <c r="M15" s="13">
        <f t="shared" si="0"/>
        <v>1635.1339285714284</v>
      </c>
      <c r="N15" s="10"/>
      <c r="O15" s="139"/>
      <c r="P15" s="10"/>
      <c r="Q15" s="13">
        <v>196.21607142857141</v>
      </c>
      <c r="R15" s="13">
        <v>0</v>
      </c>
      <c r="S15" s="13">
        <v>1635.13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>
        <f t="shared" si="1"/>
        <v>-1831.3460714285716</v>
      </c>
      <c r="AK15" s="105"/>
    </row>
    <row r="16" spans="1:37">
      <c r="A16" s="9">
        <v>43375</v>
      </c>
      <c r="B16" s="10" t="s">
        <v>670</v>
      </c>
      <c r="C16" s="11">
        <v>110896</v>
      </c>
      <c r="D16" s="11"/>
      <c r="E16" s="12" t="s">
        <v>426</v>
      </c>
      <c r="F16" s="12" t="s">
        <v>427</v>
      </c>
      <c r="G16" s="10" t="s">
        <v>437</v>
      </c>
      <c r="H16" s="10"/>
      <c r="I16" s="13"/>
      <c r="J16" s="13"/>
      <c r="K16" s="13"/>
      <c r="L16" s="13">
        <v>170</v>
      </c>
      <c r="M16" s="13">
        <f t="shared" si="0"/>
        <v>151.78571428571428</v>
      </c>
      <c r="N16" s="10"/>
      <c r="O16" s="139"/>
      <c r="P16" s="10"/>
      <c r="Q16" s="13">
        <v>18.214285714285712</v>
      </c>
      <c r="R16" s="13">
        <v>0</v>
      </c>
      <c r="S16" s="13"/>
      <c r="T16" s="13">
        <v>151.79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J16" s="13">
        <f t="shared" si="1"/>
        <v>-170.00428571428571</v>
      </c>
      <c r="AK16" s="105"/>
    </row>
    <row r="17" spans="1:37">
      <c r="A17" s="9">
        <v>43375</v>
      </c>
      <c r="B17" s="10" t="s">
        <v>671</v>
      </c>
      <c r="C17" s="11">
        <v>90792</v>
      </c>
      <c r="D17" s="11"/>
      <c r="E17" s="12" t="s">
        <v>433</v>
      </c>
      <c r="F17" s="12" t="s">
        <v>452</v>
      </c>
      <c r="G17" s="10" t="s">
        <v>792</v>
      </c>
      <c r="H17" s="10"/>
      <c r="I17" s="13"/>
      <c r="J17" s="13"/>
      <c r="K17" s="13"/>
      <c r="L17" s="13">
        <v>181.5</v>
      </c>
      <c r="M17" s="13">
        <f t="shared" si="0"/>
        <v>162.05357142857142</v>
      </c>
      <c r="N17" s="10"/>
      <c r="O17" s="139"/>
      <c r="P17" s="10"/>
      <c r="Q17" s="13">
        <v>19.446428571428569</v>
      </c>
      <c r="R17" s="13">
        <v>0</v>
      </c>
      <c r="S17" s="13">
        <v>162.05000000000001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J17" s="13">
        <f t="shared" si="1"/>
        <v>-181.49642857142857</v>
      </c>
      <c r="AK17" s="105"/>
    </row>
    <row r="18" spans="1:37">
      <c r="A18" s="9">
        <v>43376</v>
      </c>
      <c r="B18" s="10" t="s">
        <v>672</v>
      </c>
      <c r="C18" s="11">
        <v>5092</v>
      </c>
      <c r="D18" s="11"/>
      <c r="E18" s="12" t="s">
        <v>775</v>
      </c>
      <c r="F18" s="12" t="s">
        <v>776</v>
      </c>
      <c r="G18" s="10" t="s">
        <v>793</v>
      </c>
      <c r="H18" s="10"/>
      <c r="I18" s="13"/>
      <c r="J18" s="13"/>
      <c r="K18" s="13"/>
      <c r="L18" s="13">
        <v>300</v>
      </c>
      <c r="M18" s="13">
        <f t="shared" si="0"/>
        <v>267.85714285714283</v>
      </c>
      <c r="N18" s="10"/>
      <c r="O18" s="139"/>
      <c r="P18" s="10"/>
      <c r="Q18" s="13">
        <v>32.142857142857139</v>
      </c>
      <c r="R18" s="13">
        <v>0</v>
      </c>
      <c r="S18" s="13">
        <v>267.86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-300.00285714285712</v>
      </c>
      <c r="AK18" s="105"/>
    </row>
    <row r="19" spans="1:37">
      <c r="A19" s="9">
        <v>43376</v>
      </c>
      <c r="B19" s="10" t="s">
        <v>673</v>
      </c>
      <c r="C19" s="11"/>
      <c r="D19" s="11"/>
      <c r="E19" s="12" t="s">
        <v>424</v>
      </c>
      <c r="F19" s="12"/>
      <c r="G19" s="10" t="s">
        <v>794</v>
      </c>
      <c r="H19" s="10"/>
      <c r="I19" s="13">
        <v>30</v>
      </c>
      <c r="J19" s="13"/>
      <c r="K19" s="13"/>
      <c r="L19" s="13"/>
      <c r="M19" s="13">
        <f t="shared" si="0"/>
        <v>30</v>
      </c>
      <c r="N19" s="10"/>
      <c r="O19" s="139"/>
      <c r="P19" s="10"/>
      <c r="Q19" s="13">
        <v>0</v>
      </c>
      <c r="R19" s="13">
        <v>0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>
        <v>30</v>
      </c>
      <c r="AE19" s="13"/>
      <c r="AF19" s="13"/>
      <c r="AG19" s="13"/>
      <c r="AH19" s="13"/>
      <c r="AJ19" s="13">
        <f t="shared" si="1"/>
        <v>-30</v>
      </c>
      <c r="AK19" s="105"/>
    </row>
    <row r="20" spans="1:37">
      <c r="A20" s="9">
        <v>43376</v>
      </c>
      <c r="B20" s="10" t="s">
        <v>674</v>
      </c>
      <c r="C20" s="11">
        <v>114242</v>
      </c>
      <c r="D20" s="11"/>
      <c r="E20" s="12" t="s">
        <v>426</v>
      </c>
      <c r="F20" s="12" t="s">
        <v>427</v>
      </c>
      <c r="G20" s="10" t="s">
        <v>437</v>
      </c>
      <c r="H20" s="10"/>
      <c r="I20" s="13"/>
      <c r="J20" s="13"/>
      <c r="K20" s="13"/>
      <c r="L20" s="13">
        <v>170</v>
      </c>
      <c r="M20" s="13">
        <f t="shared" si="0"/>
        <v>151.78571428571428</v>
      </c>
      <c r="N20" s="10"/>
      <c r="O20" s="139"/>
      <c r="P20" s="10"/>
      <c r="Q20" s="13">
        <v>18.214285714285712</v>
      </c>
      <c r="R20" s="13">
        <v>0</v>
      </c>
      <c r="S20" s="13"/>
      <c r="T20" s="13">
        <v>151.79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J20" s="13">
        <f t="shared" si="1"/>
        <v>-170.00428571428571</v>
      </c>
      <c r="AK20" s="105"/>
    </row>
    <row r="21" spans="1:37">
      <c r="A21" s="9">
        <v>43376</v>
      </c>
      <c r="B21" s="10" t="s">
        <v>675</v>
      </c>
      <c r="C21" s="11">
        <v>140410</v>
      </c>
      <c r="D21" s="11"/>
      <c r="E21" s="12" t="s">
        <v>430</v>
      </c>
      <c r="F21" s="12" t="s">
        <v>431</v>
      </c>
      <c r="G21" s="10" t="s">
        <v>795</v>
      </c>
      <c r="H21" s="10"/>
      <c r="I21" s="13"/>
      <c r="J21" s="13"/>
      <c r="K21" s="13">
        <v>315</v>
      </c>
      <c r="L21" s="13"/>
      <c r="M21" s="13">
        <f t="shared" si="0"/>
        <v>315</v>
      </c>
      <c r="N21" s="10"/>
      <c r="O21" s="139"/>
      <c r="P21" s="10"/>
      <c r="Q21" s="13">
        <v>0</v>
      </c>
      <c r="R21" s="13">
        <v>0</v>
      </c>
      <c r="S21" s="13">
        <v>315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J21" s="13">
        <f t="shared" si="1"/>
        <v>-315</v>
      </c>
      <c r="AK21" s="105"/>
    </row>
    <row r="22" spans="1:37">
      <c r="A22" s="9">
        <v>43376</v>
      </c>
      <c r="B22" s="10" t="s">
        <v>676</v>
      </c>
      <c r="C22" s="11">
        <v>140410</v>
      </c>
      <c r="D22" s="11"/>
      <c r="E22" s="12" t="s">
        <v>430</v>
      </c>
      <c r="F22" s="12" t="s">
        <v>431</v>
      </c>
      <c r="G22" s="10" t="s">
        <v>796</v>
      </c>
      <c r="H22" s="10"/>
      <c r="I22" s="13"/>
      <c r="J22" s="13"/>
      <c r="K22" s="13"/>
      <c r="L22" s="13">
        <v>659.15</v>
      </c>
      <c r="M22" s="13">
        <f t="shared" si="0"/>
        <v>588.52678571428567</v>
      </c>
      <c r="N22" s="10"/>
      <c r="O22" s="139"/>
      <c r="P22" s="10"/>
      <c r="Q22" s="13">
        <v>70.623214285714283</v>
      </c>
      <c r="R22" s="13">
        <v>0</v>
      </c>
      <c r="S22" s="13">
        <v>588.53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-659.15321428571428</v>
      </c>
      <c r="AK22" s="105"/>
    </row>
    <row r="23" spans="1:37">
      <c r="A23" s="9">
        <v>43377</v>
      </c>
      <c r="B23" s="10" t="s">
        <v>677</v>
      </c>
      <c r="C23" s="11">
        <v>32117</v>
      </c>
      <c r="D23" s="11"/>
      <c r="E23" s="12" t="s">
        <v>433</v>
      </c>
      <c r="F23" s="12" t="s">
        <v>452</v>
      </c>
      <c r="G23" s="10" t="s">
        <v>797</v>
      </c>
      <c r="H23" s="10"/>
      <c r="I23" s="13"/>
      <c r="J23" s="13"/>
      <c r="K23" s="13"/>
      <c r="L23" s="13">
        <v>69</v>
      </c>
      <c r="M23" s="13">
        <f t="shared" si="0"/>
        <v>61.607142857142854</v>
      </c>
      <c r="N23" s="10"/>
      <c r="O23" s="139"/>
      <c r="P23" s="10"/>
      <c r="Q23" s="13">
        <v>7.3928571428571423</v>
      </c>
      <c r="R23" s="13">
        <v>0</v>
      </c>
      <c r="S23" s="13"/>
      <c r="T23" s="13">
        <v>61.61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J23" s="13">
        <f t="shared" si="1"/>
        <v>-69.002857142857138</v>
      </c>
      <c r="AK23" s="105"/>
    </row>
    <row r="24" spans="1:37">
      <c r="A24" s="9">
        <v>43377</v>
      </c>
      <c r="B24" s="10" t="s">
        <v>678</v>
      </c>
      <c r="C24" s="11">
        <v>118836</v>
      </c>
      <c r="D24" s="11"/>
      <c r="E24" s="12" t="s">
        <v>426</v>
      </c>
      <c r="F24" s="12" t="s">
        <v>427</v>
      </c>
      <c r="G24" s="10" t="s">
        <v>437</v>
      </c>
      <c r="H24" s="10"/>
      <c r="I24" s="13"/>
      <c r="J24" s="13"/>
      <c r="K24" s="13"/>
      <c r="L24" s="13">
        <v>170</v>
      </c>
      <c r="M24" s="13">
        <f t="shared" si="0"/>
        <v>151.78571428571428</v>
      </c>
      <c r="N24" s="10"/>
      <c r="O24" s="139"/>
      <c r="P24" s="10"/>
      <c r="Q24" s="13">
        <v>18.214285714285712</v>
      </c>
      <c r="R24" s="13">
        <v>0</v>
      </c>
      <c r="S24" s="13"/>
      <c r="T24" s="13">
        <v>151.79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J24" s="13">
        <f t="shared" si="1"/>
        <v>-170.00428571428571</v>
      </c>
      <c r="AK24" s="105"/>
    </row>
    <row r="25" spans="1:37">
      <c r="A25" s="9">
        <v>43377</v>
      </c>
      <c r="B25" s="10" t="s">
        <v>679</v>
      </c>
      <c r="C25" s="11"/>
      <c r="D25" s="11"/>
      <c r="E25" s="12" t="s">
        <v>451</v>
      </c>
      <c r="F25" s="12"/>
      <c r="G25" s="10" t="s">
        <v>798</v>
      </c>
      <c r="H25" s="10"/>
      <c r="I25" s="13">
        <v>220</v>
      </c>
      <c r="J25" s="13"/>
      <c r="K25" s="13"/>
      <c r="L25" s="13"/>
      <c r="M25" s="13">
        <f t="shared" si="0"/>
        <v>220</v>
      </c>
      <c r="N25" s="10"/>
      <c r="O25" s="139"/>
      <c r="P25" s="10"/>
      <c r="Q25" s="13">
        <v>0</v>
      </c>
      <c r="R25" s="13">
        <v>0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>
        <v>220</v>
      </c>
      <c r="AE25" s="13"/>
      <c r="AF25" s="13"/>
      <c r="AG25" s="13"/>
      <c r="AH25" s="13"/>
      <c r="AJ25" s="13">
        <f t="shared" si="1"/>
        <v>-220</v>
      </c>
      <c r="AK25" s="105"/>
    </row>
    <row r="26" spans="1:37">
      <c r="A26" s="9">
        <v>43377</v>
      </c>
      <c r="B26" s="10" t="s">
        <v>680</v>
      </c>
      <c r="C26" s="11"/>
      <c r="D26" s="11"/>
      <c r="E26" s="12" t="s">
        <v>432</v>
      </c>
      <c r="F26" s="12"/>
      <c r="G26" s="10" t="s">
        <v>799</v>
      </c>
      <c r="H26" s="10"/>
      <c r="I26" s="13">
        <v>502</v>
      </c>
      <c r="J26" s="13"/>
      <c r="K26" s="13"/>
      <c r="L26" s="13"/>
      <c r="M26" s="13">
        <f t="shared" si="0"/>
        <v>502</v>
      </c>
      <c r="N26" s="10"/>
      <c r="O26" s="139"/>
      <c r="P26" s="10"/>
      <c r="Q26" s="13">
        <v>0</v>
      </c>
      <c r="R26" s="13">
        <v>0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>
        <v>502</v>
      </c>
      <c r="AF26" s="13"/>
      <c r="AG26" s="13"/>
      <c r="AH26" s="13"/>
      <c r="AJ26" s="13">
        <f t="shared" si="1"/>
        <v>-502</v>
      </c>
      <c r="AK26" s="105"/>
    </row>
    <row r="27" spans="1:37">
      <c r="A27" s="9">
        <v>43377</v>
      </c>
      <c r="B27" s="10" t="s">
        <v>681</v>
      </c>
      <c r="C27" s="11">
        <v>32126</v>
      </c>
      <c r="D27" s="11"/>
      <c r="E27" s="12" t="s">
        <v>433</v>
      </c>
      <c r="F27" s="12" t="s">
        <v>452</v>
      </c>
      <c r="G27" s="10" t="s">
        <v>800</v>
      </c>
      <c r="H27" s="10"/>
      <c r="I27" s="13"/>
      <c r="J27" s="13"/>
      <c r="K27" s="13"/>
      <c r="L27" s="13">
        <v>274.5</v>
      </c>
      <c r="M27" s="13">
        <f t="shared" si="0"/>
        <v>245.08928571428569</v>
      </c>
      <c r="N27" s="10"/>
      <c r="O27" s="139"/>
      <c r="P27" s="10"/>
      <c r="Q27" s="13">
        <v>29.410714285714281</v>
      </c>
      <c r="R27" s="13">
        <v>0</v>
      </c>
      <c r="S27" s="13"/>
      <c r="T27" s="13"/>
      <c r="U27" s="13">
        <v>245.09</v>
      </c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J27" s="13">
        <f t="shared" si="1"/>
        <v>-274.50071428571431</v>
      </c>
      <c r="AK27" s="105"/>
    </row>
    <row r="28" spans="1:37">
      <c r="A28" s="9">
        <v>43378</v>
      </c>
      <c r="B28" s="10" t="s">
        <v>682</v>
      </c>
      <c r="C28" s="11">
        <v>118883</v>
      </c>
      <c r="D28" s="11"/>
      <c r="E28" s="12" t="s">
        <v>426</v>
      </c>
      <c r="F28" s="12" t="s">
        <v>427</v>
      </c>
      <c r="G28" s="10" t="s">
        <v>437</v>
      </c>
      <c r="H28" s="10"/>
      <c r="I28" s="13"/>
      <c r="J28" s="13"/>
      <c r="K28" s="13"/>
      <c r="L28" s="13">
        <v>170</v>
      </c>
      <c r="M28" s="13">
        <f t="shared" si="0"/>
        <v>151.78571428571428</v>
      </c>
      <c r="N28" s="10"/>
      <c r="O28" s="139"/>
      <c r="P28" s="10"/>
      <c r="Q28" s="13">
        <v>18.214285714285712</v>
      </c>
      <c r="R28" s="13">
        <v>0</v>
      </c>
      <c r="S28" s="13"/>
      <c r="T28" s="13">
        <v>151.79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J28" s="13">
        <f t="shared" si="1"/>
        <v>-170.00428571428571</v>
      </c>
      <c r="AK28" s="105"/>
    </row>
    <row r="29" spans="1:37">
      <c r="A29" s="9">
        <v>43378</v>
      </c>
      <c r="B29" s="10" t="s">
        <v>683</v>
      </c>
      <c r="C29" s="11">
        <v>32145</v>
      </c>
      <c r="D29" s="11"/>
      <c r="E29" s="12" t="s">
        <v>433</v>
      </c>
      <c r="F29" s="12" t="s">
        <v>452</v>
      </c>
      <c r="G29" s="10" t="s">
        <v>458</v>
      </c>
      <c r="H29" s="10"/>
      <c r="I29" s="13"/>
      <c r="J29" s="13"/>
      <c r="K29" s="13"/>
      <c r="L29" s="13">
        <v>128.25</v>
      </c>
      <c r="M29" s="13">
        <f t="shared" si="0"/>
        <v>114.50892857142856</v>
      </c>
      <c r="N29" s="10"/>
      <c r="O29" s="139"/>
      <c r="P29" s="10"/>
      <c r="Q29" s="13">
        <v>13.741071428571425</v>
      </c>
      <c r="R29" s="13">
        <v>0</v>
      </c>
      <c r="S29" s="13">
        <v>114.51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J29" s="13">
        <f t="shared" si="1"/>
        <v>-128.25107142857144</v>
      </c>
      <c r="AK29" s="105"/>
    </row>
    <row r="30" spans="1:37">
      <c r="A30" s="9">
        <v>43378</v>
      </c>
      <c r="B30" s="10" t="s">
        <v>684</v>
      </c>
      <c r="C30" s="11">
        <v>74446</v>
      </c>
      <c r="D30" s="11"/>
      <c r="E30" s="12" t="s">
        <v>430</v>
      </c>
      <c r="F30" s="12" t="s">
        <v>431</v>
      </c>
      <c r="G30" s="10" t="s">
        <v>801</v>
      </c>
      <c r="H30" s="10"/>
      <c r="I30" s="13"/>
      <c r="J30" s="13"/>
      <c r="K30" s="13">
        <v>187.3</v>
      </c>
      <c r="L30" s="13"/>
      <c r="M30" s="13">
        <f t="shared" si="0"/>
        <v>187.3</v>
      </c>
      <c r="N30" s="10"/>
      <c r="O30" s="139"/>
      <c r="P30" s="10"/>
      <c r="Q30" s="13">
        <v>0</v>
      </c>
      <c r="R30" s="13">
        <v>0</v>
      </c>
      <c r="S30" s="13">
        <v>187.3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J30" s="13">
        <f t="shared" si="1"/>
        <v>-187.3</v>
      </c>
      <c r="AK30" s="105"/>
    </row>
    <row r="31" spans="1:37">
      <c r="A31" s="9">
        <v>43378</v>
      </c>
      <c r="B31" s="10" t="s">
        <v>685</v>
      </c>
      <c r="C31" s="11">
        <v>74446</v>
      </c>
      <c r="D31" s="11"/>
      <c r="E31" s="12" t="s">
        <v>430</v>
      </c>
      <c r="F31" s="12" t="s">
        <v>431</v>
      </c>
      <c r="G31" s="10" t="s">
        <v>802</v>
      </c>
      <c r="H31" s="10"/>
      <c r="I31" s="13"/>
      <c r="J31" s="13"/>
      <c r="K31" s="13"/>
      <c r="L31" s="13">
        <v>285.64999999999998</v>
      </c>
      <c r="M31" s="13">
        <f t="shared" si="0"/>
        <v>255.0446428571428</v>
      </c>
      <c r="N31" s="10"/>
      <c r="O31" s="139"/>
      <c r="P31" s="10"/>
      <c r="Q31" s="13">
        <v>30.605357142857134</v>
      </c>
      <c r="R31" s="13">
        <v>0</v>
      </c>
      <c r="S31" s="13">
        <v>255.04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J31" s="13">
        <f t="shared" si="1"/>
        <v>-285.64535714285711</v>
      </c>
      <c r="AK31" s="105"/>
    </row>
    <row r="32" spans="1:37">
      <c r="A32" s="9">
        <v>43378</v>
      </c>
      <c r="B32" s="10" t="s">
        <v>686</v>
      </c>
      <c r="C32" s="11">
        <v>56267</v>
      </c>
      <c r="D32" s="11"/>
      <c r="E32" s="12" t="s">
        <v>430</v>
      </c>
      <c r="F32" s="12" t="s">
        <v>431</v>
      </c>
      <c r="G32" s="10" t="s">
        <v>803</v>
      </c>
      <c r="H32" s="10"/>
      <c r="I32" s="13"/>
      <c r="J32" s="13"/>
      <c r="K32" s="13"/>
      <c r="L32" s="13">
        <v>199.5</v>
      </c>
      <c r="M32" s="13">
        <f t="shared" si="0"/>
        <v>178.12499999999997</v>
      </c>
      <c r="N32" s="10"/>
      <c r="O32" s="139"/>
      <c r="P32" s="10"/>
      <c r="Q32" s="13">
        <v>21.374999999999996</v>
      </c>
      <c r="R32" s="13">
        <v>0</v>
      </c>
      <c r="S32" s="13"/>
      <c r="T32" s="13"/>
      <c r="U32" s="13"/>
      <c r="V32" s="13"/>
      <c r="W32" s="13"/>
      <c r="X32" s="13"/>
      <c r="Y32" s="13"/>
      <c r="Z32" s="13"/>
      <c r="AA32" s="13">
        <v>178.13</v>
      </c>
      <c r="AB32" s="13"/>
      <c r="AC32" s="13"/>
      <c r="AD32" s="13"/>
      <c r="AE32" s="13"/>
      <c r="AF32" s="13"/>
      <c r="AG32" s="13"/>
      <c r="AH32" s="13"/>
      <c r="AJ32" s="13">
        <f t="shared" si="1"/>
        <v>-199.505</v>
      </c>
      <c r="AK32" s="105"/>
    </row>
    <row r="33" spans="1:37">
      <c r="A33" s="9">
        <v>43379</v>
      </c>
      <c r="B33" s="10" t="s">
        <v>687</v>
      </c>
      <c r="C33" s="11">
        <v>343</v>
      </c>
      <c r="D33" s="11"/>
      <c r="E33" s="12" t="s">
        <v>777</v>
      </c>
      <c r="F33" s="12" t="s">
        <v>778</v>
      </c>
      <c r="G33" s="10" t="s">
        <v>437</v>
      </c>
      <c r="H33" s="10"/>
      <c r="I33" s="13"/>
      <c r="J33" s="13"/>
      <c r="K33" s="13"/>
      <c r="L33" s="13">
        <v>38</v>
      </c>
      <c r="M33" s="13">
        <f t="shared" si="0"/>
        <v>33.928571428571423</v>
      </c>
      <c r="N33" s="10"/>
      <c r="O33" s="139"/>
      <c r="P33" s="10"/>
      <c r="Q33" s="13">
        <v>4.0714285714285703</v>
      </c>
      <c r="R33" s="13">
        <v>0</v>
      </c>
      <c r="S33" s="13"/>
      <c r="T33" s="13">
        <v>33.93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-38.001428571428569</v>
      </c>
      <c r="AK33" s="105"/>
    </row>
    <row r="34" spans="1:37">
      <c r="A34" s="9">
        <v>43379</v>
      </c>
      <c r="B34" s="10" t="s">
        <v>688</v>
      </c>
      <c r="C34" s="11">
        <v>118948</v>
      </c>
      <c r="D34" s="11"/>
      <c r="E34" s="12" t="s">
        <v>426</v>
      </c>
      <c r="F34" s="12" t="s">
        <v>427</v>
      </c>
      <c r="G34" s="10" t="s">
        <v>437</v>
      </c>
      <c r="H34" s="10"/>
      <c r="I34" s="13"/>
      <c r="J34" s="13"/>
      <c r="K34" s="13"/>
      <c r="L34" s="13">
        <v>85</v>
      </c>
      <c r="M34" s="13">
        <f t="shared" si="0"/>
        <v>75.892857142857139</v>
      </c>
      <c r="N34" s="10"/>
      <c r="O34" s="139"/>
      <c r="P34" s="10"/>
      <c r="Q34" s="13">
        <v>9.1071428571428559</v>
      </c>
      <c r="R34" s="13">
        <v>0</v>
      </c>
      <c r="S34" s="13"/>
      <c r="T34" s="13">
        <v>75.89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J34" s="13">
        <f t="shared" si="1"/>
        <v>-84.997142857142862</v>
      </c>
      <c r="AK34" s="105"/>
    </row>
    <row r="35" spans="1:37">
      <c r="A35" s="9">
        <v>43381</v>
      </c>
      <c r="B35" s="10" t="s">
        <v>689</v>
      </c>
      <c r="C35" s="11">
        <v>87461</v>
      </c>
      <c r="D35" s="11"/>
      <c r="E35" s="12" t="s">
        <v>433</v>
      </c>
      <c r="F35" s="12" t="s">
        <v>452</v>
      </c>
      <c r="G35" s="10" t="s">
        <v>804</v>
      </c>
      <c r="H35" s="10"/>
      <c r="I35" s="13"/>
      <c r="J35" s="13"/>
      <c r="K35" s="13"/>
      <c r="L35" s="13">
        <v>152.22</v>
      </c>
      <c r="M35" s="13">
        <f t="shared" si="0"/>
        <v>135.91071428571428</v>
      </c>
      <c r="N35" s="10"/>
      <c r="O35" s="139"/>
      <c r="P35" s="10"/>
      <c r="Q35" s="13">
        <v>16.309285714285714</v>
      </c>
      <c r="R35" s="13">
        <v>0</v>
      </c>
      <c r="S35" s="13">
        <v>135.91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-152.21928571428572</v>
      </c>
      <c r="AK35" s="105"/>
    </row>
    <row r="36" spans="1:37">
      <c r="A36" s="9">
        <v>43381</v>
      </c>
      <c r="B36" s="10" t="s">
        <v>690</v>
      </c>
      <c r="C36" s="11">
        <v>148121</v>
      </c>
      <c r="D36" s="11"/>
      <c r="E36" s="12" t="s">
        <v>430</v>
      </c>
      <c r="F36" s="12" t="s">
        <v>431</v>
      </c>
      <c r="G36" s="10" t="s">
        <v>805</v>
      </c>
      <c r="H36" s="10"/>
      <c r="I36" s="13"/>
      <c r="J36" s="13"/>
      <c r="K36" s="13"/>
      <c r="L36" s="13">
        <v>796.85</v>
      </c>
      <c r="M36" s="13">
        <f t="shared" si="0"/>
        <v>711.47321428571422</v>
      </c>
      <c r="N36" s="10"/>
      <c r="O36" s="139"/>
      <c r="P36" s="10"/>
      <c r="Q36" s="13">
        <v>85.376785714285703</v>
      </c>
      <c r="R36" s="13">
        <v>0</v>
      </c>
      <c r="S36" s="13">
        <v>711.47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J36" s="13">
        <f t="shared" si="1"/>
        <v>-796.84678571428572</v>
      </c>
      <c r="AK36" s="105"/>
    </row>
    <row r="37" spans="1:37">
      <c r="A37" s="9">
        <v>43381</v>
      </c>
      <c r="B37" s="10" t="s">
        <v>691</v>
      </c>
      <c r="C37" s="11">
        <v>175455</v>
      </c>
      <c r="D37" s="11"/>
      <c r="E37" s="12" t="s">
        <v>430</v>
      </c>
      <c r="F37" s="12" t="s">
        <v>431</v>
      </c>
      <c r="G37" s="10" t="s">
        <v>806</v>
      </c>
      <c r="H37" s="10"/>
      <c r="I37" s="13"/>
      <c r="J37" s="13"/>
      <c r="K37" s="13"/>
      <c r="L37" s="13">
        <v>155.25</v>
      </c>
      <c r="M37" s="13">
        <f t="shared" si="0"/>
        <v>138.61607142857142</v>
      </c>
      <c r="N37" s="10"/>
      <c r="O37" s="139"/>
      <c r="P37" s="10"/>
      <c r="Q37" s="13">
        <v>16.633928571428569</v>
      </c>
      <c r="R37" s="13">
        <v>0</v>
      </c>
      <c r="S37" s="13"/>
      <c r="T37" s="13">
        <v>138.62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J37" s="13">
        <f t="shared" si="1"/>
        <v>-155.25392857142856</v>
      </c>
      <c r="AK37" s="105"/>
    </row>
    <row r="38" spans="1:37">
      <c r="A38" s="9">
        <v>43381</v>
      </c>
      <c r="B38" s="10" t="s">
        <v>692</v>
      </c>
      <c r="C38" s="11">
        <v>987367</v>
      </c>
      <c r="D38" s="11"/>
      <c r="E38" s="12" t="s">
        <v>433</v>
      </c>
      <c r="F38" s="12" t="s">
        <v>452</v>
      </c>
      <c r="G38" s="10" t="s">
        <v>440</v>
      </c>
      <c r="H38" s="10"/>
      <c r="I38" s="13"/>
      <c r="J38" s="13"/>
      <c r="K38" s="13"/>
      <c r="L38" s="13">
        <v>195.71</v>
      </c>
      <c r="M38" s="13">
        <f t="shared" si="0"/>
        <v>174.74107142857142</v>
      </c>
      <c r="N38" s="10"/>
      <c r="O38" s="139"/>
      <c r="P38" s="10"/>
      <c r="Q38" s="13">
        <v>20.96892857142857</v>
      </c>
      <c r="R38" s="13">
        <v>0</v>
      </c>
      <c r="S38" s="13">
        <v>174.74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J38" s="13">
        <f t="shared" si="1"/>
        <v>-195.70892857142857</v>
      </c>
      <c r="AK38" s="105"/>
    </row>
    <row r="39" spans="1:37">
      <c r="A39" s="9">
        <v>43381</v>
      </c>
      <c r="B39" s="10" t="s">
        <v>693</v>
      </c>
      <c r="C39" s="11">
        <v>32162</v>
      </c>
      <c r="D39" s="11"/>
      <c r="E39" s="12" t="s">
        <v>433</v>
      </c>
      <c r="F39" s="12" t="s">
        <v>452</v>
      </c>
      <c r="G39" s="10" t="s">
        <v>458</v>
      </c>
      <c r="H39" s="10"/>
      <c r="I39" s="13"/>
      <c r="J39" s="13"/>
      <c r="K39" s="13"/>
      <c r="L39" s="13">
        <v>256.5</v>
      </c>
      <c r="M39" s="13">
        <f t="shared" si="0"/>
        <v>229.01785714285711</v>
      </c>
      <c r="N39" s="10"/>
      <c r="O39" s="139"/>
      <c r="P39" s="10"/>
      <c r="Q39" s="13">
        <v>27.482142857142851</v>
      </c>
      <c r="R39" s="13">
        <v>0</v>
      </c>
      <c r="S39" s="13">
        <v>229.02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13">
        <f t="shared" si="1"/>
        <v>-256.50214285714287</v>
      </c>
      <c r="AK39" s="105"/>
    </row>
    <row r="40" spans="1:37">
      <c r="A40" s="9">
        <v>43381</v>
      </c>
      <c r="B40" s="10" t="s">
        <v>694</v>
      </c>
      <c r="C40" s="11">
        <v>2684</v>
      </c>
      <c r="D40" s="11"/>
      <c r="E40" s="12" t="s">
        <v>421</v>
      </c>
      <c r="F40" s="12" t="s">
        <v>422</v>
      </c>
      <c r="G40" s="10" t="s">
        <v>807</v>
      </c>
      <c r="H40" s="10"/>
      <c r="I40" s="13"/>
      <c r="J40" s="13"/>
      <c r="K40" s="13">
        <v>1755</v>
      </c>
      <c r="L40" s="13"/>
      <c r="M40" s="13">
        <f t="shared" si="0"/>
        <v>1755</v>
      </c>
      <c r="N40" s="10"/>
      <c r="O40" s="139"/>
      <c r="P40" s="10"/>
      <c r="Q40" s="13">
        <v>0</v>
      </c>
      <c r="R40" s="13">
        <v>0</v>
      </c>
      <c r="S40" s="13">
        <v>1755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J40" s="13">
        <f t="shared" si="1"/>
        <v>-1755</v>
      </c>
      <c r="AK40" s="105"/>
    </row>
    <row r="41" spans="1:37">
      <c r="A41" s="9">
        <v>43381</v>
      </c>
      <c r="B41" s="10" t="s">
        <v>695</v>
      </c>
      <c r="C41" s="11"/>
      <c r="D41" s="11"/>
      <c r="E41" s="12" t="s">
        <v>423</v>
      </c>
      <c r="F41" s="12"/>
      <c r="G41" s="10" t="s">
        <v>808</v>
      </c>
      <c r="H41" s="10"/>
      <c r="I41" s="13">
        <v>100</v>
      </c>
      <c r="J41" s="13"/>
      <c r="K41" s="13"/>
      <c r="L41" s="13"/>
      <c r="M41" s="13">
        <f t="shared" si="0"/>
        <v>100</v>
      </c>
      <c r="N41" s="10"/>
      <c r="O41" s="139"/>
      <c r="P41" s="10"/>
      <c r="Q41" s="13">
        <v>0</v>
      </c>
      <c r="R41" s="13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>
        <v>100</v>
      </c>
      <c r="AE41" s="13"/>
      <c r="AF41" s="13"/>
      <c r="AG41" s="13"/>
      <c r="AH41" s="13"/>
      <c r="AJ41" s="13">
        <f t="shared" si="1"/>
        <v>-100</v>
      </c>
      <c r="AK41" s="105"/>
    </row>
    <row r="42" spans="1:37">
      <c r="A42" s="9">
        <v>43381</v>
      </c>
      <c r="B42" s="10" t="s">
        <v>696</v>
      </c>
      <c r="C42" s="11">
        <v>135981</v>
      </c>
      <c r="D42" s="11"/>
      <c r="E42" s="12" t="s">
        <v>426</v>
      </c>
      <c r="F42" s="12" t="s">
        <v>427</v>
      </c>
      <c r="G42" s="10" t="s">
        <v>437</v>
      </c>
      <c r="H42" s="10"/>
      <c r="I42" s="13"/>
      <c r="J42" s="13"/>
      <c r="K42" s="13"/>
      <c r="L42" s="13">
        <v>170</v>
      </c>
      <c r="M42" s="13">
        <f t="shared" si="0"/>
        <v>151.78571428571428</v>
      </c>
      <c r="N42" s="10"/>
      <c r="O42" s="139"/>
      <c r="P42" s="10"/>
      <c r="Q42" s="13">
        <v>18.214285714285712</v>
      </c>
      <c r="R42" s="13">
        <v>0</v>
      </c>
      <c r="S42" s="13"/>
      <c r="T42" s="13">
        <v>151.79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-170.00428571428571</v>
      </c>
      <c r="AK42" s="105"/>
    </row>
    <row r="43" spans="1:37">
      <c r="A43" s="9">
        <v>43382</v>
      </c>
      <c r="B43" s="10" t="s">
        <v>697</v>
      </c>
      <c r="C43" s="11">
        <v>135995</v>
      </c>
      <c r="D43" s="11"/>
      <c r="E43" s="12" t="s">
        <v>426</v>
      </c>
      <c r="F43" s="12" t="s">
        <v>427</v>
      </c>
      <c r="G43" s="10" t="s">
        <v>437</v>
      </c>
      <c r="H43" s="10"/>
      <c r="I43" s="13"/>
      <c r="J43" s="13"/>
      <c r="K43" s="13"/>
      <c r="L43" s="13">
        <v>170</v>
      </c>
      <c r="M43" s="13">
        <f t="shared" si="0"/>
        <v>151.78571428571428</v>
      </c>
      <c r="N43" s="10"/>
      <c r="O43" s="139"/>
      <c r="P43" s="10"/>
      <c r="Q43" s="13">
        <v>18.214285714285712</v>
      </c>
      <c r="R43" s="13">
        <v>0</v>
      </c>
      <c r="S43" s="13"/>
      <c r="T43" s="13">
        <v>151.79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-170.00428571428571</v>
      </c>
      <c r="AK43" s="105"/>
    </row>
    <row r="44" spans="1:37">
      <c r="A44" s="9">
        <v>43382</v>
      </c>
      <c r="B44" s="10" t="s">
        <v>698</v>
      </c>
      <c r="C44" s="11"/>
      <c r="D44" s="11"/>
      <c r="E44" s="12" t="s">
        <v>451</v>
      </c>
      <c r="F44" s="12"/>
      <c r="G44" s="10" t="s">
        <v>440</v>
      </c>
      <c r="H44" s="10"/>
      <c r="I44" s="13"/>
      <c r="J44" s="13"/>
      <c r="K44" s="13">
        <v>170</v>
      </c>
      <c r="L44" s="13"/>
      <c r="M44" s="13">
        <f t="shared" si="0"/>
        <v>170</v>
      </c>
      <c r="N44" s="10"/>
      <c r="O44" s="139"/>
      <c r="P44" s="10"/>
      <c r="Q44" s="13">
        <v>0</v>
      </c>
      <c r="R44" s="13">
        <v>0</v>
      </c>
      <c r="S44" s="13">
        <v>170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J44" s="13">
        <f t="shared" si="1"/>
        <v>-170</v>
      </c>
      <c r="AK44" s="105"/>
    </row>
    <row r="45" spans="1:37">
      <c r="A45" s="9">
        <v>43382</v>
      </c>
      <c r="B45" s="10" t="s">
        <v>699</v>
      </c>
      <c r="C45" s="11">
        <v>703120</v>
      </c>
      <c r="D45" s="11"/>
      <c r="E45" s="12" t="s">
        <v>428</v>
      </c>
      <c r="F45" s="12" t="s">
        <v>456</v>
      </c>
      <c r="G45" s="10" t="s">
        <v>809</v>
      </c>
      <c r="H45" s="10"/>
      <c r="I45" s="13"/>
      <c r="J45" s="13"/>
      <c r="K45" s="13"/>
      <c r="L45" s="13">
        <v>52.5</v>
      </c>
      <c r="M45" s="13">
        <f t="shared" si="0"/>
        <v>46.874999999999993</v>
      </c>
      <c r="N45" s="10"/>
      <c r="O45" s="139"/>
      <c r="P45" s="10"/>
      <c r="Q45" s="13">
        <v>5.6249999999999991</v>
      </c>
      <c r="R45" s="13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>
        <v>46.88</v>
      </c>
      <c r="AD45" s="13"/>
      <c r="AE45" s="13"/>
      <c r="AF45" s="13"/>
      <c r="AG45" s="13"/>
      <c r="AH45" s="13"/>
      <c r="AJ45" s="13">
        <f t="shared" si="1"/>
        <v>-52.505000000000003</v>
      </c>
      <c r="AK45" s="105"/>
    </row>
    <row r="46" spans="1:37">
      <c r="A46" s="9">
        <v>43382</v>
      </c>
      <c r="B46" s="10" t="s">
        <v>700</v>
      </c>
      <c r="C46" s="11">
        <v>703120</v>
      </c>
      <c r="D46" s="11"/>
      <c r="E46" s="12" t="s">
        <v>428</v>
      </c>
      <c r="F46" s="12" t="s">
        <v>456</v>
      </c>
      <c r="G46" s="10" t="s">
        <v>810</v>
      </c>
      <c r="H46" s="10"/>
      <c r="I46" s="13"/>
      <c r="J46" s="13"/>
      <c r="K46" s="13"/>
      <c r="L46" s="13">
        <v>430</v>
      </c>
      <c r="M46" s="13">
        <f t="shared" si="0"/>
        <v>383.92857142857139</v>
      </c>
      <c r="N46" s="10"/>
      <c r="O46" s="139"/>
      <c r="P46" s="10"/>
      <c r="Q46" s="13">
        <v>46.071428571428562</v>
      </c>
      <c r="R46" s="13">
        <v>0</v>
      </c>
      <c r="S46" s="13"/>
      <c r="T46" s="13"/>
      <c r="U46" s="13"/>
      <c r="V46" s="13"/>
      <c r="W46" s="13">
        <v>383.93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J46" s="13">
        <f t="shared" si="1"/>
        <v>-430.00142857142856</v>
      </c>
      <c r="AK46" s="105"/>
    </row>
    <row r="47" spans="1:37">
      <c r="A47" s="9">
        <v>43382</v>
      </c>
      <c r="B47" s="10" t="s">
        <v>701</v>
      </c>
      <c r="C47" s="11">
        <v>130451</v>
      </c>
      <c r="D47" s="11"/>
      <c r="E47" s="12" t="s">
        <v>430</v>
      </c>
      <c r="F47" s="12" t="s">
        <v>431</v>
      </c>
      <c r="G47" s="10" t="s">
        <v>811</v>
      </c>
      <c r="H47" s="10"/>
      <c r="I47" s="13"/>
      <c r="J47" s="13"/>
      <c r="K47" s="13">
        <v>500.95</v>
      </c>
      <c r="L47" s="13"/>
      <c r="M47" s="13">
        <f t="shared" si="0"/>
        <v>500.95</v>
      </c>
      <c r="N47" s="10"/>
      <c r="O47" s="139"/>
      <c r="P47" s="10"/>
      <c r="Q47" s="13">
        <v>0</v>
      </c>
      <c r="R47" s="13">
        <v>0</v>
      </c>
      <c r="S47" s="13">
        <v>500.95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J47" s="13">
        <f t="shared" si="1"/>
        <v>-500.95</v>
      </c>
      <c r="AK47" s="105"/>
    </row>
    <row r="48" spans="1:37">
      <c r="A48" s="9">
        <v>43382</v>
      </c>
      <c r="B48" s="10" t="s">
        <v>702</v>
      </c>
      <c r="C48" s="11">
        <v>130451</v>
      </c>
      <c r="D48" s="11"/>
      <c r="E48" s="12" t="s">
        <v>430</v>
      </c>
      <c r="F48" s="12" t="s">
        <v>431</v>
      </c>
      <c r="G48" s="10" t="s">
        <v>812</v>
      </c>
      <c r="H48" s="10"/>
      <c r="I48" s="13"/>
      <c r="J48" s="13"/>
      <c r="K48" s="13"/>
      <c r="L48" s="13">
        <v>558.65</v>
      </c>
      <c r="M48" s="13">
        <f t="shared" si="0"/>
        <v>498.79464285714278</v>
      </c>
      <c r="N48" s="10"/>
      <c r="O48" s="139"/>
      <c r="P48" s="10"/>
      <c r="Q48" s="13">
        <v>59.85535714285713</v>
      </c>
      <c r="R48" s="13">
        <v>0</v>
      </c>
      <c r="S48" s="13">
        <v>498.79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-558.64535714285716</v>
      </c>
      <c r="AK48" s="105"/>
    </row>
    <row r="49" spans="1:37">
      <c r="A49" s="9">
        <v>43383</v>
      </c>
      <c r="B49" s="10" t="s">
        <v>703</v>
      </c>
      <c r="C49" s="11"/>
      <c r="D49" s="11"/>
      <c r="E49" s="12" t="s">
        <v>774</v>
      </c>
      <c r="F49" s="12"/>
      <c r="G49" s="10" t="s">
        <v>813</v>
      </c>
      <c r="H49" s="10"/>
      <c r="I49" s="13"/>
      <c r="J49" s="13"/>
      <c r="K49" s="13">
        <v>1123</v>
      </c>
      <c r="L49" s="13"/>
      <c r="M49" s="13">
        <f t="shared" si="0"/>
        <v>1123</v>
      </c>
      <c r="N49" s="10"/>
      <c r="O49" s="139"/>
      <c r="P49" s="10"/>
      <c r="Q49" s="13">
        <v>0</v>
      </c>
      <c r="R49" s="13">
        <v>0</v>
      </c>
      <c r="S49" s="13">
        <v>1123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>
        <f t="shared" si="1"/>
        <v>-1123</v>
      </c>
      <c r="AK49" s="105"/>
    </row>
    <row r="50" spans="1:37">
      <c r="A50" s="9">
        <v>43383</v>
      </c>
      <c r="B50" s="10" t="s">
        <v>704</v>
      </c>
      <c r="C50" s="11"/>
      <c r="D50" s="11"/>
      <c r="E50" s="12" t="s">
        <v>423</v>
      </c>
      <c r="F50" s="12"/>
      <c r="G50" s="10" t="s">
        <v>814</v>
      </c>
      <c r="H50" s="10"/>
      <c r="I50" s="13">
        <v>50</v>
      </c>
      <c r="J50" s="13"/>
      <c r="K50" s="13"/>
      <c r="L50" s="13"/>
      <c r="M50" s="13">
        <f t="shared" si="0"/>
        <v>50</v>
      </c>
      <c r="N50" s="10"/>
      <c r="O50" s="139"/>
      <c r="P50" s="10"/>
      <c r="Q50" s="13">
        <v>0</v>
      </c>
      <c r="R50" s="13">
        <v>0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>
        <v>50</v>
      </c>
      <c r="AE50" s="13"/>
      <c r="AF50" s="13"/>
      <c r="AG50" s="13"/>
      <c r="AH50" s="13"/>
      <c r="AJ50" s="13">
        <f t="shared" si="1"/>
        <v>-50</v>
      </c>
      <c r="AK50" s="105"/>
    </row>
    <row r="51" spans="1:37">
      <c r="A51" s="9">
        <v>43383</v>
      </c>
      <c r="B51" s="10" t="s">
        <v>705</v>
      </c>
      <c r="C51" s="11">
        <v>129676</v>
      </c>
      <c r="D51" s="11"/>
      <c r="E51" s="12" t="s">
        <v>426</v>
      </c>
      <c r="F51" s="12" t="s">
        <v>427</v>
      </c>
      <c r="G51" s="10" t="s">
        <v>437</v>
      </c>
      <c r="H51" s="10"/>
      <c r="I51" s="13"/>
      <c r="J51" s="13"/>
      <c r="K51" s="13"/>
      <c r="L51" s="13">
        <v>170</v>
      </c>
      <c r="M51" s="13">
        <f t="shared" si="0"/>
        <v>151.78571428571428</v>
      </c>
      <c r="N51" s="10"/>
      <c r="O51" s="139"/>
      <c r="P51" s="10"/>
      <c r="Q51" s="13">
        <v>18.214285714285712</v>
      </c>
      <c r="R51" s="13">
        <v>0</v>
      </c>
      <c r="S51" s="13"/>
      <c r="T51" s="13">
        <v>151.79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J51" s="13">
        <f t="shared" si="1"/>
        <v>-170.00428571428571</v>
      </c>
      <c r="AK51" s="105"/>
    </row>
    <row r="52" spans="1:37">
      <c r="A52" s="9">
        <v>43384</v>
      </c>
      <c r="B52" s="10" t="s">
        <v>706</v>
      </c>
      <c r="C52" s="11">
        <v>56031</v>
      </c>
      <c r="D52" s="11"/>
      <c r="E52" s="12" t="s">
        <v>434</v>
      </c>
      <c r="F52" s="12" t="s">
        <v>425</v>
      </c>
      <c r="G52" s="10" t="s">
        <v>815</v>
      </c>
      <c r="H52" s="10"/>
      <c r="I52" s="13"/>
      <c r="J52" s="13"/>
      <c r="K52" s="13"/>
      <c r="L52" s="13">
        <v>684.16</v>
      </c>
      <c r="M52" s="13">
        <f t="shared" si="0"/>
        <v>610.85714285714278</v>
      </c>
      <c r="N52" s="10"/>
      <c r="O52" s="139"/>
      <c r="P52" s="10"/>
      <c r="Q52" s="13">
        <v>73.302857142857135</v>
      </c>
      <c r="R52" s="13">
        <v>0</v>
      </c>
      <c r="S52" s="13">
        <v>610.86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J52" s="13">
        <f t="shared" si="1"/>
        <v>-684.16285714285709</v>
      </c>
      <c r="AK52" s="105"/>
    </row>
    <row r="53" spans="1:37">
      <c r="A53" s="9">
        <v>43384</v>
      </c>
      <c r="B53" s="10" t="s">
        <v>707</v>
      </c>
      <c r="C53" s="11">
        <v>129569</v>
      </c>
      <c r="D53" s="11"/>
      <c r="E53" s="12" t="s">
        <v>426</v>
      </c>
      <c r="F53" s="12" t="s">
        <v>427</v>
      </c>
      <c r="G53" s="10" t="s">
        <v>437</v>
      </c>
      <c r="H53" s="10"/>
      <c r="I53" s="13"/>
      <c r="J53" s="13"/>
      <c r="K53" s="13"/>
      <c r="L53" s="13">
        <v>170</v>
      </c>
      <c r="M53" s="13">
        <f t="shared" si="0"/>
        <v>151.78571428571428</v>
      </c>
      <c r="N53" s="10"/>
      <c r="O53" s="139"/>
      <c r="P53" s="10"/>
      <c r="Q53" s="13">
        <v>18.214285714285712</v>
      </c>
      <c r="R53" s="13">
        <v>0</v>
      </c>
      <c r="S53" s="13"/>
      <c r="T53" s="13">
        <v>151.79</v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J53" s="13">
        <f t="shared" si="1"/>
        <v>-170.00428571428571</v>
      </c>
      <c r="AK53" s="105"/>
    </row>
    <row r="54" spans="1:37">
      <c r="A54" s="9">
        <v>43385</v>
      </c>
      <c r="B54" s="10" t="s">
        <v>708</v>
      </c>
      <c r="C54" s="11">
        <v>176560</v>
      </c>
      <c r="D54" s="11"/>
      <c r="E54" s="12" t="s">
        <v>430</v>
      </c>
      <c r="F54" s="12" t="s">
        <v>431</v>
      </c>
      <c r="G54" s="10" t="s">
        <v>816</v>
      </c>
      <c r="H54" s="10"/>
      <c r="I54" s="13"/>
      <c r="J54" s="13"/>
      <c r="K54" s="13"/>
      <c r="L54" s="13">
        <v>91.55</v>
      </c>
      <c r="M54" s="13">
        <f t="shared" si="0"/>
        <v>81.741071428571416</v>
      </c>
      <c r="N54" s="10"/>
      <c r="O54" s="139"/>
      <c r="P54" s="10"/>
      <c r="Q54" s="13">
        <v>9.8089285714285701</v>
      </c>
      <c r="R54" s="13">
        <v>0</v>
      </c>
      <c r="S54" s="13">
        <v>81.739999999999995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J54" s="13">
        <f t="shared" si="1"/>
        <v>-91.548928571428561</v>
      </c>
      <c r="AK54" s="105"/>
    </row>
    <row r="55" spans="1:37">
      <c r="A55" s="9">
        <v>43385</v>
      </c>
      <c r="B55" s="10" t="s">
        <v>709</v>
      </c>
      <c r="C55" s="11">
        <v>176558</v>
      </c>
      <c r="D55" s="11"/>
      <c r="E55" s="12" t="s">
        <v>430</v>
      </c>
      <c r="F55" s="12" t="s">
        <v>431</v>
      </c>
      <c r="G55" s="10" t="s">
        <v>817</v>
      </c>
      <c r="H55" s="10"/>
      <c r="I55" s="13"/>
      <c r="J55" s="13"/>
      <c r="K55" s="13">
        <v>400.25</v>
      </c>
      <c r="L55" s="13"/>
      <c r="M55" s="13">
        <f t="shared" si="0"/>
        <v>400.25</v>
      </c>
      <c r="N55" s="10"/>
      <c r="O55" s="139"/>
      <c r="P55" s="10"/>
      <c r="Q55" s="13">
        <v>0</v>
      </c>
      <c r="R55" s="13">
        <v>0</v>
      </c>
      <c r="S55" s="13">
        <v>400.25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J55" s="13">
        <f t="shared" si="1"/>
        <v>-400.25</v>
      </c>
      <c r="AK55" s="105"/>
    </row>
    <row r="56" spans="1:37">
      <c r="A56" s="9">
        <v>43385</v>
      </c>
      <c r="B56" s="10" t="s">
        <v>710</v>
      </c>
      <c r="C56" s="11">
        <v>176558</v>
      </c>
      <c r="D56" s="11"/>
      <c r="E56" s="12" t="s">
        <v>430</v>
      </c>
      <c r="F56" s="12" t="s">
        <v>431</v>
      </c>
      <c r="G56" s="10" t="s">
        <v>818</v>
      </c>
      <c r="H56" s="10"/>
      <c r="I56" s="13"/>
      <c r="J56" s="13"/>
      <c r="K56" s="13"/>
      <c r="L56" s="13">
        <v>521.65</v>
      </c>
      <c r="M56" s="13">
        <f t="shared" si="0"/>
        <v>465.7589285714285</v>
      </c>
      <c r="N56" s="10"/>
      <c r="O56" s="139"/>
      <c r="P56" s="10"/>
      <c r="Q56" s="13">
        <v>55.891071428571415</v>
      </c>
      <c r="R56" s="13">
        <v>0</v>
      </c>
      <c r="S56" s="13">
        <v>465.76</v>
      </c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J56" s="13">
        <f t="shared" si="1"/>
        <v>-521.65107142857141</v>
      </c>
      <c r="AK56" s="105"/>
    </row>
    <row r="57" spans="1:37">
      <c r="A57" s="9">
        <v>43385</v>
      </c>
      <c r="B57" s="10" t="s">
        <v>711</v>
      </c>
      <c r="C57" s="11">
        <v>134714</v>
      </c>
      <c r="D57" s="11"/>
      <c r="E57" s="12" t="s">
        <v>426</v>
      </c>
      <c r="F57" s="12" t="s">
        <v>427</v>
      </c>
      <c r="G57" s="10" t="s">
        <v>437</v>
      </c>
      <c r="H57" s="10"/>
      <c r="I57" s="13"/>
      <c r="J57" s="13"/>
      <c r="K57" s="13"/>
      <c r="L57" s="13">
        <v>170</v>
      </c>
      <c r="M57" s="13">
        <f t="shared" si="0"/>
        <v>151.78571428571428</v>
      </c>
      <c r="N57" s="10"/>
      <c r="O57" s="139"/>
      <c r="P57" s="10"/>
      <c r="Q57" s="13">
        <v>18.214285714285712</v>
      </c>
      <c r="R57" s="13">
        <v>0</v>
      </c>
      <c r="S57" s="13"/>
      <c r="T57" s="13">
        <v>151.79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3">
        <f t="shared" si="1"/>
        <v>-170.00428571428571</v>
      </c>
      <c r="AK57" s="105"/>
    </row>
    <row r="58" spans="1:37">
      <c r="A58" s="9">
        <v>43385</v>
      </c>
      <c r="B58" s="10" t="s">
        <v>712</v>
      </c>
      <c r="C58" s="11">
        <v>42186</v>
      </c>
      <c r="D58" s="11"/>
      <c r="E58" s="12" t="s">
        <v>779</v>
      </c>
      <c r="F58" s="12" t="s">
        <v>780</v>
      </c>
      <c r="G58" s="10" t="s">
        <v>819</v>
      </c>
      <c r="H58" s="10"/>
      <c r="I58" s="13"/>
      <c r="J58" s="13"/>
      <c r="K58" s="13"/>
      <c r="L58" s="13">
        <v>1500</v>
      </c>
      <c r="M58" s="13">
        <f t="shared" si="0"/>
        <v>1339.2857142857142</v>
      </c>
      <c r="N58" s="10"/>
      <c r="O58" s="139">
        <v>0.02</v>
      </c>
      <c r="P58" s="10"/>
      <c r="Q58" s="13">
        <v>160.71428571428569</v>
      </c>
      <c r="R58" s="13">
        <v>-26.785714285714285</v>
      </c>
      <c r="S58" s="13"/>
      <c r="T58" s="13"/>
      <c r="U58" s="13"/>
      <c r="V58" s="13"/>
      <c r="W58" s="13"/>
      <c r="X58" s="13"/>
      <c r="Y58" s="13"/>
      <c r="Z58" s="13"/>
      <c r="AA58" s="13"/>
      <c r="AB58" s="13">
        <v>1339.29</v>
      </c>
      <c r="AC58" s="13"/>
      <c r="AD58" s="13"/>
      <c r="AE58" s="13"/>
      <c r="AF58" s="13"/>
      <c r="AG58" s="13"/>
      <c r="AH58" s="13"/>
      <c r="AJ58" s="13">
        <f t="shared" si="1"/>
        <v>-1473.2185714285713</v>
      </c>
      <c r="AK58" s="105"/>
    </row>
    <row r="59" spans="1:37">
      <c r="A59" s="9">
        <v>43385</v>
      </c>
      <c r="B59" s="10" t="s">
        <v>713</v>
      </c>
      <c r="C59" s="11"/>
      <c r="D59" s="11"/>
      <c r="E59" s="12" t="s">
        <v>432</v>
      </c>
      <c r="F59" s="12"/>
      <c r="G59" s="10" t="s">
        <v>820</v>
      </c>
      <c r="H59" s="10"/>
      <c r="I59" s="13">
        <v>502</v>
      </c>
      <c r="J59" s="13"/>
      <c r="K59" s="13"/>
      <c r="L59" s="13"/>
      <c r="M59" s="13">
        <f t="shared" si="0"/>
        <v>502</v>
      </c>
      <c r="N59" s="10"/>
      <c r="O59" s="139"/>
      <c r="P59" s="10"/>
      <c r="Q59" s="13">
        <v>0</v>
      </c>
      <c r="R59" s="13">
        <v>0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>
        <v>502</v>
      </c>
      <c r="AF59" s="13"/>
      <c r="AG59" s="13"/>
      <c r="AH59" s="13"/>
      <c r="AJ59" s="13">
        <f t="shared" si="1"/>
        <v>-502</v>
      </c>
      <c r="AK59" s="105"/>
    </row>
    <row r="60" spans="1:37">
      <c r="A60" s="9">
        <v>43385</v>
      </c>
      <c r="B60" s="10" t="s">
        <v>714</v>
      </c>
      <c r="C60" s="11"/>
      <c r="D60" s="11"/>
      <c r="E60" s="12" t="s">
        <v>774</v>
      </c>
      <c r="F60" s="12"/>
      <c r="G60" s="10" t="s">
        <v>821</v>
      </c>
      <c r="H60" s="10"/>
      <c r="I60" s="13"/>
      <c r="J60" s="13"/>
      <c r="K60" s="13">
        <v>1605</v>
      </c>
      <c r="L60" s="13"/>
      <c r="M60" s="13">
        <f t="shared" si="0"/>
        <v>1605</v>
      </c>
      <c r="N60" s="10"/>
      <c r="O60" s="139"/>
      <c r="P60" s="10"/>
      <c r="Q60" s="13">
        <v>0</v>
      </c>
      <c r="R60" s="13">
        <v>0</v>
      </c>
      <c r="S60" s="13">
        <v>1605</v>
      </c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J60" s="13">
        <f t="shared" si="1"/>
        <v>-1605</v>
      </c>
      <c r="AK60" s="105"/>
    </row>
    <row r="61" spans="1:37">
      <c r="A61" s="9">
        <v>43385</v>
      </c>
      <c r="B61" s="10" t="s">
        <v>715</v>
      </c>
      <c r="C61" s="11"/>
      <c r="D61" s="11"/>
      <c r="E61" s="12" t="s">
        <v>423</v>
      </c>
      <c r="F61" s="12"/>
      <c r="G61" s="10" t="s">
        <v>822</v>
      </c>
      <c r="H61" s="10"/>
      <c r="I61" s="13">
        <v>100</v>
      </c>
      <c r="J61" s="13"/>
      <c r="K61" s="13"/>
      <c r="L61" s="13"/>
      <c r="M61" s="13">
        <f t="shared" si="0"/>
        <v>100</v>
      </c>
      <c r="N61" s="10"/>
      <c r="O61" s="139"/>
      <c r="P61" s="10"/>
      <c r="Q61" s="13">
        <v>0</v>
      </c>
      <c r="R61" s="13">
        <v>0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>
        <v>100</v>
      </c>
      <c r="AE61" s="13"/>
      <c r="AF61" s="13"/>
      <c r="AG61" s="13"/>
      <c r="AH61" s="13"/>
      <c r="AJ61" s="13">
        <f t="shared" si="1"/>
        <v>-100</v>
      </c>
      <c r="AK61" s="105"/>
    </row>
    <row r="62" spans="1:37">
      <c r="A62" s="9">
        <v>43386</v>
      </c>
      <c r="B62" s="10" t="s">
        <v>716</v>
      </c>
      <c r="C62" s="11">
        <v>703981</v>
      </c>
      <c r="D62" s="11"/>
      <c r="E62" s="12" t="s">
        <v>428</v>
      </c>
      <c r="F62" s="12" t="s">
        <v>456</v>
      </c>
      <c r="G62" s="10" t="s">
        <v>823</v>
      </c>
      <c r="H62" s="10"/>
      <c r="I62" s="13"/>
      <c r="J62" s="13"/>
      <c r="K62" s="13"/>
      <c r="L62" s="13">
        <v>30</v>
      </c>
      <c r="M62" s="13">
        <f t="shared" si="0"/>
        <v>26.785714285714285</v>
      </c>
      <c r="N62" s="10"/>
      <c r="O62" s="139"/>
      <c r="P62" s="10"/>
      <c r="Q62" s="13">
        <v>3.214285714285714</v>
      </c>
      <c r="R62" s="13">
        <v>0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>
        <v>26.79</v>
      </c>
      <c r="AD62" s="13"/>
      <c r="AE62" s="13"/>
      <c r="AF62" s="13"/>
      <c r="AG62" s="13"/>
      <c r="AH62" s="13"/>
      <c r="AJ62" s="13">
        <f t="shared" si="1"/>
        <v>-30.004285714285714</v>
      </c>
      <c r="AK62" s="105"/>
    </row>
    <row r="63" spans="1:37">
      <c r="A63" s="9">
        <v>43386</v>
      </c>
      <c r="B63" s="10" t="s">
        <v>717</v>
      </c>
      <c r="C63" s="11">
        <v>134779</v>
      </c>
      <c r="D63" s="11"/>
      <c r="E63" s="12" t="s">
        <v>426</v>
      </c>
      <c r="F63" s="12" t="s">
        <v>427</v>
      </c>
      <c r="G63" s="10" t="s">
        <v>437</v>
      </c>
      <c r="H63" s="10"/>
      <c r="I63" s="13"/>
      <c r="J63" s="13"/>
      <c r="K63" s="13"/>
      <c r="L63" s="13">
        <v>85</v>
      </c>
      <c r="M63" s="13">
        <f t="shared" si="0"/>
        <v>75.892857142857139</v>
      </c>
      <c r="N63" s="10"/>
      <c r="O63" s="139"/>
      <c r="P63" s="10"/>
      <c r="Q63" s="13">
        <v>9.1071428571428559</v>
      </c>
      <c r="R63" s="13">
        <v>0</v>
      </c>
      <c r="S63" s="13"/>
      <c r="T63" s="13">
        <v>75.89</v>
      </c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J63" s="13">
        <f t="shared" si="1"/>
        <v>-84.997142857142862</v>
      </c>
      <c r="AK63" s="105"/>
    </row>
    <row r="64" spans="1:37">
      <c r="A64" s="9">
        <v>43388</v>
      </c>
      <c r="B64" s="10" t="s">
        <v>718</v>
      </c>
      <c r="C64" s="11">
        <v>1687</v>
      </c>
      <c r="D64" s="11"/>
      <c r="E64" s="12" t="s">
        <v>435</v>
      </c>
      <c r="F64" s="12" t="s">
        <v>436</v>
      </c>
      <c r="G64" s="10" t="s">
        <v>824</v>
      </c>
      <c r="H64" s="10"/>
      <c r="I64" s="13"/>
      <c r="J64" s="13"/>
      <c r="K64" s="13"/>
      <c r="L64" s="13">
        <v>360</v>
      </c>
      <c r="M64" s="13">
        <f t="shared" si="0"/>
        <v>321.42857142857139</v>
      </c>
      <c r="N64" s="10"/>
      <c r="O64" s="139">
        <v>0.01</v>
      </c>
      <c r="P64" s="10"/>
      <c r="Q64" s="13">
        <v>38.571428571428562</v>
      </c>
      <c r="R64" s="13">
        <v>-3.214285714285714</v>
      </c>
      <c r="S64" s="13">
        <v>321.43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J64" s="13">
        <f t="shared" si="1"/>
        <v>-356.78714285714284</v>
      </c>
      <c r="AK64" s="105"/>
    </row>
    <row r="65" spans="1:37">
      <c r="A65" s="9">
        <v>43388</v>
      </c>
      <c r="B65" s="10" t="s">
        <v>719</v>
      </c>
      <c r="C65" s="11"/>
      <c r="D65" s="11"/>
      <c r="E65" s="12" t="s">
        <v>432</v>
      </c>
      <c r="F65" s="12"/>
      <c r="G65" s="10" t="s">
        <v>820</v>
      </c>
      <c r="H65" s="10"/>
      <c r="I65" s="13">
        <v>502</v>
      </c>
      <c r="J65" s="13"/>
      <c r="K65" s="13"/>
      <c r="L65" s="13"/>
      <c r="M65" s="13">
        <f t="shared" si="0"/>
        <v>502</v>
      </c>
      <c r="N65" s="10"/>
      <c r="O65" s="139"/>
      <c r="P65" s="10"/>
      <c r="Q65" s="13">
        <v>0</v>
      </c>
      <c r="R65" s="13">
        <v>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>
        <v>502</v>
      </c>
      <c r="AF65" s="13"/>
      <c r="AG65" s="13"/>
      <c r="AH65" s="13"/>
      <c r="AJ65" s="13">
        <f t="shared" si="1"/>
        <v>-502</v>
      </c>
      <c r="AK65" s="105"/>
    </row>
    <row r="66" spans="1:37">
      <c r="A66" s="9">
        <v>43388</v>
      </c>
      <c r="B66" s="10" t="s">
        <v>720</v>
      </c>
      <c r="C66" s="11">
        <v>139559</v>
      </c>
      <c r="D66" s="11"/>
      <c r="E66" s="12" t="s">
        <v>426</v>
      </c>
      <c r="F66" s="12" t="s">
        <v>427</v>
      </c>
      <c r="G66" s="10" t="s">
        <v>437</v>
      </c>
      <c r="H66" s="10"/>
      <c r="I66" s="13"/>
      <c r="J66" s="13"/>
      <c r="K66" s="13"/>
      <c r="L66" s="13">
        <v>170</v>
      </c>
      <c r="M66" s="13">
        <f t="shared" si="0"/>
        <v>151.78571428571428</v>
      </c>
      <c r="N66" s="10"/>
      <c r="O66" s="139"/>
      <c r="P66" s="10"/>
      <c r="Q66" s="13">
        <v>18.214285714285712</v>
      </c>
      <c r="R66" s="13">
        <v>0</v>
      </c>
      <c r="S66" s="13"/>
      <c r="T66" s="13">
        <v>151.79</v>
      </c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J66" s="13">
        <f t="shared" si="1"/>
        <v>-170.00428571428571</v>
      </c>
      <c r="AK66" s="105"/>
    </row>
    <row r="67" spans="1:37">
      <c r="A67" s="9">
        <v>43389</v>
      </c>
      <c r="B67" s="10" t="s">
        <v>721</v>
      </c>
      <c r="C67" s="11">
        <v>139606</v>
      </c>
      <c r="D67" s="11"/>
      <c r="E67" s="12" t="s">
        <v>426</v>
      </c>
      <c r="F67" s="12" t="s">
        <v>427</v>
      </c>
      <c r="G67" s="10" t="s">
        <v>437</v>
      </c>
      <c r="H67" s="10"/>
      <c r="I67" s="13"/>
      <c r="J67" s="13"/>
      <c r="K67" s="13"/>
      <c r="L67" s="13">
        <v>170</v>
      </c>
      <c r="M67" s="13">
        <f t="shared" si="0"/>
        <v>151.78571428571428</v>
      </c>
      <c r="N67" s="10"/>
      <c r="O67" s="139"/>
      <c r="P67" s="10"/>
      <c r="Q67" s="13">
        <v>18.214285714285712</v>
      </c>
      <c r="R67" s="13">
        <v>0</v>
      </c>
      <c r="S67" s="13"/>
      <c r="T67" s="13">
        <v>151.79</v>
      </c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J67" s="13">
        <f t="shared" si="1"/>
        <v>-170.00428571428571</v>
      </c>
      <c r="AK67" s="105"/>
    </row>
    <row r="68" spans="1:37">
      <c r="A68" s="9">
        <v>43389</v>
      </c>
      <c r="B68" s="10" t="s">
        <v>722</v>
      </c>
      <c r="C68" s="11">
        <v>704519</v>
      </c>
      <c r="D68" s="11"/>
      <c r="E68" s="12" t="s">
        <v>428</v>
      </c>
      <c r="F68" s="12" t="s">
        <v>456</v>
      </c>
      <c r="G68" s="10" t="s">
        <v>825</v>
      </c>
      <c r="H68" s="10"/>
      <c r="I68" s="13"/>
      <c r="J68" s="13"/>
      <c r="K68" s="13"/>
      <c r="L68" s="13">
        <v>436</v>
      </c>
      <c r="M68" s="13">
        <f t="shared" si="0"/>
        <v>389.28571428571422</v>
      </c>
      <c r="N68" s="10"/>
      <c r="O68" s="139"/>
      <c r="P68" s="10"/>
      <c r="Q68" s="13">
        <v>46.714285714285708</v>
      </c>
      <c r="R68" s="13">
        <v>0</v>
      </c>
      <c r="S68" s="13"/>
      <c r="T68" s="13"/>
      <c r="U68" s="13"/>
      <c r="V68" s="13"/>
      <c r="W68" s="13">
        <v>389.29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J68" s="13">
        <f t="shared" si="1"/>
        <v>-436.00428571428574</v>
      </c>
      <c r="AK68" s="105"/>
    </row>
    <row r="69" spans="1:37">
      <c r="A69" s="9">
        <v>43389</v>
      </c>
      <c r="B69" s="10" t="s">
        <v>723</v>
      </c>
      <c r="C69" s="11">
        <v>704519</v>
      </c>
      <c r="D69" s="11"/>
      <c r="E69" s="12" t="s">
        <v>428</v>
      </c>
      <c r="F69" s="12" t="s">
        <v>456</v>
      </c>
      <c r="G69" s="10" t="s">
        <v>826</v>
      </c>
      <c r="H69" s="10"/>
      <c r="I69" s="13"/>
      <c r="J69" s="13"/>
      <c r="K69" s="13"/>
      <c r="L69" s="13">
        <v>38</v>
      </c>
      <c r="M69" s="13">
        <f t="shared" si="0"/>
        <v>33.928571428571423</v>
      </c>
      <c r="N69" s="10"/>
      <c r="O69" s="139"/>
      <c r="P69" s="10"/>
      <c r="Q69" s="13">
        <v>4.0714285714285703</v>
      </c>
      <c r="R69" s="13">
        <v>0</v>
      </c>
      <c r="S69" s="13"/>
      <c r="T69" s="13"/>
      <c r="U69" s="13">
        <v>33.93</v>
      </c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J69" s="13">
        <f t="shared" si="1"/>
        <v>-38.001428571428569</v>
      </c>
      <c r="AK69" s="105"/>
    </row>
    <row r="70" spans="1:37">
      <c r="A70" s="9">
        <v>43389</v>
      </c>
      <c r="B70" s="10" t="s">
        <v>724</v>
      </c>
      <c r="C70" s="11">
        <v>704661</v>
      </c>
      <c r="D70" s="11"/>
      <c r="E70" s="12" t="s">
        <v>428</v>
      </c>
      <c r="F70" s="12" t="s">
        <v>456</v>
      </c>
      <c r="G70" s="10" t="s">
        <v>827</v>
      </c>
      <c r="H70" s="10"/>
      <c r="I70" s="13"/>
      <c r="J70" s="13"/>
      <c r="K70" s="13"/>
      <c r="L70" s="13">
        <v>29.75</v>
      </c>
      <c r="M70" s="13">
        <f t="shared" si="0"/>
        <v>26.562499999999996</v>
      </c>
      <c r="N70" s="10"/>
      <c r="O70" s="139"/>
      <c r="P70" s="10"/>
      <c r="Q70" s="13">
        <v>3.1874999999999996</v>
      </c>
      <c r="R70" s="13">
        <v>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>
        <v>26.56</v>
      </c>
      <c r="AD70" s="13"/>
      <c r="AE70" s="13"/>
      <c r="AF70" s="13"/>
      <c r="AG70" s="13"/>
      <c r="AH70" s="13"/>
      <c r="AJ70" s="13">
        <f t="shared" si="1"/>
        <v>-29.747499999999999</v>
      </c>
      <c r="AK70" s="105"/>
    </row>
    <row r="71" spans="1:37">
      <c r="A71" s="9">
        <v>43389</v>
      </c>
      <c r="B71" s="10" t="s">
        <v>725</v>
      </c>
      <c r="C71" s="11">
        <v>704661</v>
      </c>
      <c r="D71" s="11"/>
      <c r="E71" s="12" t="s">
        <v>428</v>
      </c>
      <c r="F71" s="12" t="s">
        <v>456</v>
      </c>
      <c r="G71" s="10" t="s">
        <v>828</v>
      </c>
      <c r="H71" s="10"/>
      <c r="I71" s="13"/>
      <c r="J71" s="13"/>
      <c r="K71" s="13"/>
      <c r="L71" s="13">
        <v>35.5</v>
      </c>
      <c r="M71" s="13">
        <f t="shared" si="0"/>
        <v>31.696428571428569</v>
      </c>
      <c r="N71" s="10"/>
      <c r="O71" s="139"/>
      <c r="P71" s="10"/>
      <c r="Q71" s="13">
        <v>3.8035714285714284</v>
      </c>
      <c r="R71" s="13">
        <v>0</v>
      </c>
      <c r="S71" s="13"/>
      <c r="T71" s="13"/>
      <c r="U71" s="13"/>
      <c r="V71" s="13"/>
      <c r="W71" s="13">
        <v>31.7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J71" s="13">
        <f t="shared" si="1"/>
        <v>-35.503571428571426</v>
      </c>
      <c r="AK71" s="105"/>
    </row>
    <row r="72" spans="1:37">
      <c r="A72" s="9">
        <v>43389</v>
      </c>
      <c r="B72" s="10" t="s">
        <v>726</v>
      </c>
      <c r="C72" s="11"/>
      <c r="D72" s="11"/>
      <c r="E72" s="12" t="s">
        <v>432</v>
      </c>
      <c r="F72" s="12"/>
      <c r="G72" s="10" t="s">
        <v>820</v>
      </c>
      <c r="H72" s="10"/>
      <c r="I72" s="13">
        <v>502</v>
      </c>
      <c r="J72" s="13"/>
      <c r="K72" s="13"/>
      <c r="L72" s="13"/>
      <c r="M72" s="13">
        <f t="shared" ref="M72:M135" si="2">I72+J72+K72+L72/1.12</f>
        <v>502</v>
      </c>
      <c r="N72" s="10"/>
      <c r="O72" s="139"/>
      <c r="P72" s="10"/>
      <c r="Q72" s="13">
        <v>0</v>
      </c>
      <c r="R72" s="13">
        <v>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>
        <v>502</v>
      </c>
      <c r="AF72" s="13"/>
      <c r="AG72" s="13"/>
      <c r="AH72" s="13"/>
      <c r="AJ72" s="13">
        <f t="shared" ref="AJ72:AJ135" si="3">-SUM(P72:AI72)</f>
        <v>-502</v>
      </c>
      <c r="AK72" s="105"/>
    </row>
    <row r="73" spans="1:37">
      <c r="A73" s="9">
        <v>43390</v>
      </c>
      <c r="B73" s="10" t="s">
        <v>727</v>
      </c>
      <c r="C73" s="11">
        <v>139647</v>
      </c>
      <c r="D73" s="11"/>
      <c r="E73" s="12" t="s">
        <v>426</v>
      </c>
      <c r="F73" s="12" t="s">
        <v>427</v>
      </c>
      <c r="G73" s="10" t="s">
        <v>437</v>
      </c>
      <c r="H73" s="10"/>
      <c r="I73" s="13"/>
      <c r="J73" s="13"/>
      <c r="K73" s="13"/>
      <c r="L73" s="13">
        <v>170</v>
      </c>
      <c r="M73" s="13">
        <f t="shared" si="2"/>
        <v>151.78571428571428</v>
      </c>
      <c r="N73" s="10"/>
      <c r="O73" s="139"/>
      <c r="P73" s="10"/>
      <c r="Q73" s="13">
        <v>18.214285714285712</v>
      </c>
      <c r="R73" s="13">
        <v>0</v>
      </c>
      <c r="S73" s="13"/>
      <c r="T73" s="13">
        <v>151.79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J73" s="13">
        <f t="shared" si="3"/>
        <v>-170.00428571428571</v>
      </c>
      <c r="AK73" s="105"/>
    </row>
    <row r="74" spans="1:37">
      <c r="A74" s="9">
        <v>43390</v>
      </c>
      <c r="B74" s="10" t="s">
        <v>728</v>
      </c>
      <c r="C74" s="11"/>
      <c r="D74" s="11"/>
      <c r="E74" s="12" t="s">
        <v>451</v>
      </c>
      <c r="F74" s="12"/>
      <c r="G74" s="10" t="s">
        <v>829</v>
      </c>
      <c r="H74" s="10"/>
      <c r="I74" s="13">
        <v>250</v>
      </c>
      <c r="J74" s="13"/>
      <c r="K74" s="13"/>
      <c r="L74" s="13"/>
      <c r="M74" s="13">
        <f t="shared" si="2"/>
        <v>250</v>
      </c>
      <c r="N74" s="10"/>
      <c r="O74" s="139"/>
      <c r="P74" s="10"/>
      <c r="Q74" s="13">
        <v>0</v>
      </c>
      <c r="R74" s="13">
        <v>0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>
        <v>250</v>
      </c>
      <c r="AF74" s="13"/>
      <c r="AG74" s="13"/>
      <c r="AH74" s="13"/>
      <c r="AJ74" s="13">
        <f t="shared" si="3"/>
        <v>-250</v>
      </c>
      <c r="AK74" s="105"/>
    </row>
    <row r="75" spans="1:37">
      <c r="A75" s="9">
        <v>43390</v>
      </c>
      <c r="B75" s="10" t="s">
        <v>729</v>
      </c>
      <c r="C75" s="11"/>
      <c r="D75" s="11"/>
      <c r="E75" s="12" t="s">
        <v>455</v>
      </c>
      <c r="F75" s="12"/>
      <c r="G75" s="10" t="s">
        <v>830</v>
      </c>
      <c r="H75" s="10"/>
      <c r="I75" s="13">
        <v>12.04</v>
      </c>
      <c r="J75" s="13"/>
      <c r="K75" s="13"/>
      <c r="L75" s="13"/>
      <c r="M75" s="13">
        <f t="shared" si="2"/>
        <v>12.04</v>
      </c>
      <c r="N75" s="10"/>
      <c r="O75" s="139"/>
      <c r="P75" s="10"/>
      <c r="Q75" s="13">
        <v>0</v>
      </c>
      <c r="R75" s="13">
        <v>0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>
        <v>12.04</v>
      </c>
      <c r="AH75" s="13"/>
      <c r="AJ75" s="13">
        <f t="shared" si="3"/>
        <v>-12.04</v>
      </c>
      <c r="AK75" s="105"/>
    </row>
    <row r="76" spans="1:37">
      <c r="A76" s="9">
        <v>43390</v>
      </c>
      <c r="B76" s="10" t="s">
        <v>730</v>
      </c>
      <c r="C76" s="11">
        <v>89880</v>
      </c>
      <c r="D76" s="11"/>
      <c r="E76" s="12" t="s">
        <v>433</v>
      </c>
      <c r="F76" s="12" t="s">
        <v>452</v>
      </c>
      <c r="G76" s="10" t="s">
        <v>831</v>
      </c>
      <c r="H76" s="10"/>
      <c r="I76" s="13"/>
      <c r="J76" s="13"/>
      <c r="K76" s="13"/>
      <c r="L76" s="13">
        <v>244.86</v>
      </c>
      <c r="M76" s="13">
        <f t="shared" si="2"/>
        <v>218.625</v>
      </c>
      <c r="N76" s="10"/>
      <c r="O76" s="139"/>
      <c r="P76" s="10"/>
      <c r="Q76" s="13">
        <v>26.234999999999999</v>
      </c>
      <c r="R76" s="13">
        <v>0</v>
      </c>
      <c r="S76" s="13">
        <v>218.63</v>
      </c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J76" s="13">
        <f t="shared" si="3"/>
        <v>-244.86500000000001</v>
      </c>
      <c r="AK76" s="105"/>
    </row>
    <row r="77" spans="1:37">
      <c r="A77" s="9">
        <v>43390</v>
      </c>
      <c r="B77" s="10" t="s">
        <v>731</v>
      </c>
      <c r="C77" s="11">
        <v>120344</v>
      </c>
      <c r="D77" s="11"/>
      <c r="E77" s="12" t="s">
        <v>430</v>
      </c>
      <c r="F77" s="12" t="s">
        <v>431</v>
      </c>
      <c r="G77" s="10" t="s">
        <v>832</v>
      </c>
      <c r="H77" s="10"/>
      <c r="I77" s="13"/>
      <c r="J77" s="13"/>
      <c r="K77" s="13">
        <v>852.25</v>
      </c>
      <c r="L77" s="13"/>
      <c r="M77" s="13">
        <f t="shared" si="2"/>
        <v>852.25</v>
      </c>
      <c r="N77" s="10"/>
      <c r="O77" s="139"/>
      <c r="P77" s="10"/>
      <c r="Q77" s="13">
        <v>0</v>
      </c>
      <c r="R77" s="13">
        <v>0</v>
      </c>
      <c r="S77" s="13">
        <v>852.25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J77" s="13">
        <f t="shared" si="3"/>
        <v>-852.25</v>
      </c>
      <c r="AK77" s="105"/>
    </row>
    <row r="78" spans="1:37">
      <c r="A78" s="9">
        <v>43390</v>
      </c>
      <c r="B78" s="10" t="s">
        <v>732</v>
      </c>
      <c r="C78" s="11">
        <v>120344</v>
      </c>
      <c r="D78" s="11"/>
      <c r="E78" s="12" t="s">
        <v>430</v>
      </c>
      <c r="F78" s="12" t="s">
        <v>431</v>
      </c>
      <c r="G78" s="10" t="s">
        <v>833</v>
      </c>
      <c r="H78" s="10"/>
      <c r="I78" s="13"/>
      <c r="J78" s="13"/>
      <c r="K78" s="13"/>
      <c r="L78" s="13">
        <v>1719.3</v>
      </c>
      <c r="M78" s="13">
        <f t="shared" si="2"/>
        <v>1535.0892857142856</v>
      </c>
      <c r="N78" s="10"/>
      <c r="O78" s="34"/>
      <c r="P78" s="10"/>
      <c r="Q78" s="13">
        <v>184.21071428571426</v>
      </c>
      <c r="R78" s="13">
        <v>0</v>
      </c>
      <c r="S78" s="13">
        <v>1535.09</v>
      </c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J78" s="13">
        <f t="shared" si="3"/>
        <v>-1719.3007142857141</v>
      </c>
      <c r="AK78" s="105"/>
    </row>
    <row r="79" spans="1:37">
      <c r="A79" s="9">
        <v>43391</v>
      </c>
      <c r="B79" s="10" t="s">
        <v>733</v>
      </c>
      <c r="C79" s="11">
        <v>2705</v>
      </c>
      <c r="D79" s="11"/>
      <c r="E79" s="12" t="s">
        <v>421</v>
      </c>
      <c r="F79" s="12" t="s">
        <v>422</v>
      </c>
      <c r="G79" s="10" t="s">
        <v>834</v>
      </c>
      <c r="H79" s="10"/>
      <c r="I79" s="13"/>
      <c r="J79" s="13"/>
      <c r="K79" s="13">
        <v>1140</v>
      </c>
      <c r="L79" s="13"/>
      <c r="M79" s="13">
        <f t="shared" si="2"/>
        <v>1140</v>
      </c>
      <c r="N79" s="10"/>
      <c r="O79" s="34"/>
      <c r="P79" s="10"/>
      <c r="Q79" s="13">
        <v>0</v>
      </c>
      <c r="R79" s="13">
        <v>0</v>
      </c>
      <c r="S79" s="13">
        <v>1140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-1140</v>
      </c>
      <c r="AK79" s="105"/>
    </row>
    <row r="80" spans="1:37">
      <c r="A80" s="9">
        <v>43391</v>
      </c>
      <c r="B80" s="10" t="s">
        <v>734</v>
      </c>
      <c r="C80" s="11"/>
      <c r="D80" s="11"/>
      <c r="E80" s="12" t="s">
        <v>423</v>
      </c>
      <c r="F80" s="12"/>
      <c r="G80" s="10" t="s">
        <v>835</v>
      </c>
      <c r="H80" s="10"/>
      <c r="I80" s="13">
        <v>100</v>
      </c>
      <c r="J80" s="13"/>
      <c r="K80" s="13"/>
      <c r="L80" s="13"/>
      <c r="M80" s="13">
        <f t="shared" si="2"/>
        <v>100</v>
      </c>
      <c r="N80" s="10"/>
      <c r="O80" s="34"/>
      <c r="P80" s="10"/>
      <c r="Q80" s="13">
        <v>0</v>
      </c>
      <c r="R80" s="13">
        <v>0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>
        <v>100</v>
      </c>
      <c r="AE80" s="13"/>
      <c r="AF80" s="13"/>
      <c r="AG80" s="13"/>
      <c r="AH80" s="13"/>
      <c r="AJ80" s="13">
        <f t="shared" si="3"/>
        <v>-100</v>
      </c>
      <c r="AK80" s="105"/>
    </row>
    <row r="81" spans="1:37">
      <c r="A81" s="9">
        <v>43391</v>
      </c>
      <c r="B81" s="10" t="s">
        <v>735</v>
      </c>
      <c r="C81" s="11">
        <v>31435</v>
      </c>
      <c r="D81" s="11"/>
      <c r="E81" s="12" t="s">
        <v>449</v>
      </c>
      <c r="F81" s="12" t="s">
        <v>450</v>
      </c>
      <c r="G81" s="10" t="s">
        <v>836</v>
      </c>
      <c r="H81" s="10"/>
      <c r="I81" s="13"/>
      <c r="J81" s="13"/>
      <c r="K81" s="13"/>
      <c r="L81" s="13">
        <v>213.75</v>
      </c>
      <c r="M81" s="13">
        <f t="shared" si="2"/>
        <v>190.84821428571428</v>
      </c>
      <c r="N81" s="10"/>
      <c r="O81" s="34"/>
      <c r="P81" s="10"/>
      <c r="Q81" s="13">
        <v>22.901785714285712</v>
      </c>
      <c r="R81" s="13">
        <v>0</v>
      </c>
      <c r="S81" s="13"/>
      <c r="T81" s="13">
        <v>190.85</v>
      </c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J81" s="13">
        <f t="shared" si="3"/>
        <v>-213.75178571428572</v>
      </c>
      <c r="AK81" s="105"/>
    </row>
    <row r="82" spans="1:37">
      <c r="A82" s="9">
        <v>43391</v>
      </c>
      <c r="B82" s="10" t="s">
        <v>736</v>
      </c>
      <c r="C82" s="11">
        <v>136045</v>
      </c>
      <c r="D82" s="11"/>
      <c r="E82" s="12" t="s">
        <v>426</v>
      </c>
      <c r="F82" s="12" t="s">
        <v>427</v>
      </c>
      <c r="G82" s="10" t="s">
        <v>437</v>
      </c>
      <c r="H82" s="10"/>
      <c r="I82" s="13"/>
      <c r="J82" s="13"/>
      <c r="K82" s="13"/>
      <c r="L82" s="13">
        <v>170</v>
      </c>
      <c r="M82" s="13">
        <f t="shared" si="2"/>
        <v>151.78571428571428</v>
      </c>
      <c r="N82" s="10"/>
      <c r="O82" s="34"/>
      <c r="P82" s="10"/>
      <c r="Q82" s="13">
        <v>18.214285714285712</v>
      </c>
      <c r="R82" s="13">
        <v>0</v>
      </c>
      <c r="S82" s="13"/>
      <c r="T82" s="13">
        <v>151.79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J82" s="13">
        <f t="shared" si="3"/>
        <v>-170.00428571428571</v>
      </c>
      <c r="AK82" s="105"/>
    </row>
    <row r="83" spans="1:37">
      <c r="A83" s="9">
        <v>43391</v>
      </c>
      <c r="B83" s="10" t="s">
        <v>737</v>
      </c>
      <c r="C83" s="11">
        <v>705176</v>
      </c>
      <c r="D83" s="11"/>
      <c r="E83" s="12" t="s">
        <v>428</v>
      </c>
      <c r="F83" s="12" t="s">
        <v>456</v>
      </c>
      <c r="G83" s="10" t="s">
        <v>823</v>
      </c>
      <c r="H83" s="10"/>
      <c r="I83" s="13"/>
      <c r="J83" s="13"/>
      <c r="K83" s="13"/>
      <c r="L83" s="13">
        <v>70</v>
      </c>
      <c r="M83" s="13">
        <f t="shared" si="2"/>
        <v>62.499999999999993</v>
      </c>
      <c r="N83" s="10"/>
      <c r="O83" s="34"/>
      <c r="P83" s="10"/>
      <c r="Q83" s="13">
        <v>7.4999999999999991</v>
      </c>
      <c r="R83" s="13">
        <v>0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>
        <v>62.5</v>
      </c>
      <c r="AD83" s="13"/>
      <c r="AE83" s="13"/>
      <c r="AF83" s="13"/>
      <c r="AG83" s="13"/>
      <c r="AH83" s="13"/>
      <c r="AJ83" s="13">
        <f t="shared" si="3"/>
        <v>-70</v>
      </c>
      <c r="AK83" s="105"/>
    </row>
    <row r="84" spans="1:37">
      <c r="A84" s="9">
        <v>43392</v>
      </c>
      <c r="B84" s="10" t="s">
        <v>738</v>
      </c>
      <c r="C84" s="11">
        <v>144991</v>
      </c>
      <c r="D84" s="11"/>
      <c r="E84" s="12" t="s">
        <v>426</v>
      </c>
      <c r="F84" s="12" t="s">
        <v>427</v>
      </c>
      <c r="G84" s="10" t="s">
        <v>437</v>
      </c>
      <c r="H84" s="10"/>
      <c r="I84" s="13"/>
      <c r="J84" s="13"/>
      <c r="K84" s="13"/>
      <c r="L84" s="13">
        <v>170</v>
      </c>
      <c r="M84" s="13">
        <f t="shared" si="2"/>
        <v>151.78571428571428</v>
      </c>
      <c r="N84" s="10"/>
      <c r="O84" s="34"/>
      <c r="P84" s="10"/>
      <c r="Q84" s="13">
        <v>18.214285714285712</v>
      </c>
      <c r="R84" s="13">
        <v>0</v>
      </c>
      <c r="S84" s="13"/>
      <c r="T84" s="13">
        <v>151.79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J84" s="13">
        <f t="shared" si="3"/>
        <v>-170.00428571428571</v>
      </c>
      <c r="AK84" s="105"/>
    </row>
    <row r="85" spans="1:37">
      <c r="A85" s="9">
        <v>43392</v>
      </c>
      <c r="B85" s="10" t="s">
        <v>739</v>
      </c>
      <c r="C85" s="11">
        <v>160921</v>
      </c>
      <c r="D85" s="11"/>
      <c r="E85" s="12" t="s">
        <v>430</v>
      </c>
      <c r="F85" s="12" t="s">
        <v>431</v>
      </c>
      <c r="G85" s="10" t="s">
        <v>837</v>
      </c>
      <c r="H85" s="10"/>
      <c r="I85" s="13"/>
      <c r="J85" s="13"/>
      <c r="K85" s="13">
        <v>136.5</v>
      </c>
      <c r="L85" s="13"/>
      <c r="M85" s="13">
        <f t="shared" si="2"/>
        <v>136.5</v>
      </c>
      <c r="N85" s="10"/>
      <c r="O85" s="34"/>
      <c r="P85" s="10"/>
      <c r="Q85" s="13">
        <v>0</v>
      </c>
      <c r="R85" s="13">
        <v>0</v>
      </c>
      <c r="S85" s="13">
        <v>136.5</v>
      </c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J85" s="13">
        <f t="shared" si="3"/>
        <v>-136.5</v>
      </c>
      <c r="AK85" s="105"/>
    </row>
    <row r="86" spans="1:37">
      <c r="A86" s="9">
        <v>43392</v>
      </c>
      <c r="B86" s="10" t="s">
        <v>740</v>
      </c>
      <c r="C86" s="11">
        <v>160921</v>
      </c>
      <c r="D86" s="11"/>
      <c r="E86" s="12" t="s">
        <v>430</v>
      </c>
      <c r="F86" s="12" t="s">
        <v>431</v>
      </c>
      <c r="G86" s="10" t="s">
        <v>438</v>
      </c>
      <c r="H86" s="10"/>
      <c r="I86" s="13"/>
      <c r="J86" s="13"/>
      <c r="K86" s="13"/>
      <c r="L86" s="13">
        <v>306</v>
      </c>
      <c r="M86" s="13">
        <f t="shared" si="2"/>
        <v>273.21428571428567</v>
      </c>
      <c r="N86" s="10"/>
      <c r="O86" s="34"/>
      <c r="P86" s="10"/>
      <c r="Q86" s="13">
        <v>32.785714285714278</v>
      </c>
      <c r="R86" s="13">
        <v>0</v>
      </c>
      <c r="S86" s="13">
        <v>273.20999999999998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J86" s="13">
        <f t="shared" si="3"/>
        <v>-305.99571428571426</v>
      </c>
      <c r="AK86" s="105"/>
    </row>
    <row r="87" spans="1:37">
      <c r="A87" s="9">
        <v>43392</v>
      </c>
      <c r="B87" s="10" t="s">
        <v>741</v>
      </c>
      <c r="C87" s="11"/>
      <c r="D87" s="11"/>
      <c r="E87" s="12" t="s">
        <v>781</v>
      </c>
      <c r="F87" s="12"/>
      <c r="G87" s="10" t="s">
        <v>838</v>
      </c>
      <c r="H87" s="10"/>
      <c r="I87" s="13">
        <v>375</v>
      </c>
      <c r="J87" s="13"/>
      <c r="K87" s="13"/>
      <c r="L87" s="13"/>
      <c r="M87" s="13">
        <f t="shared" si="2"/>
        <v>375</v>
      </c>
      <c r="N87" s="10"/>
      <c r="O87" s="34"/>
      <c r="P87" s="10"/>
      <c r="Q87" s="13">
        <v>0</v>
      </c>
      <c r="R87" s="13">
        <v>0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>
        <v>375</v>
      </c>
      <c r="AH87" s="13"/>
      <c r="AJ87" s="13">
        <f t="shared" si="3"/>
        <v>-375</v>
      </c>
      <c r="AK87" s="105"/>
    </row>
    <row r="88" spans="1:37">
      <c r="A88" s="9">
        <v>43392</v>
      </c>
      <c r="B88" s="10" t="s">
        <v>742</v>
      </c>
      <c r="C88" s="11"/>
      <c r="D88" s="11"/>
      <c r="E88" s="12" t="s">
        <v>782</v>
      </c>
      <c r="F88" s="12"/>
      <c r="G88" s="10" t="s">
        <v>839</v>
      </c>
      <c r="H88" s="10"/>
      <c r="I88" s="13">
        <v>68</v>
      </c>
      <c r="J88" s="13"/>
      <c r="K88" s="13"/>
      <c r="L88" s="13"/>
      <c r="M88" s="13">
        <f t="shared" si="2"/>
        <v>68</v>
      </c>
      <c r="N88" s="10"/>
      <c r="O88" s="34"/>
      <c r="P88" s="10"/>
      <c r="Q88" s="13">
        <v>0</v>
      </c>
      <c r="R88" s="13">
        <v>0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68</v>
      </c>
      <c r="AE88" s="13"/>
      <c r="AF88" s="13"/>
      <c r="AG88" s="13"/>
      <c r="AH88" s="13"/>
      <c r="AJ88" s="13">
        <f t="shared" si="3"/>
        <v>-68</v>
      </c>
      <c r="AK88" s="105"/>
    </row>
    <row r="89" spans="1:37">
      <c r="A89" s="9">
        <v>43393</v>
      </c>
      <c r="B89" s="10" t="s">
        <v>743</v>
      </c>
      <c r="C89" s="11">
        <v>150159</v>
      </c>
      <c r="D89" s="11"/>
      <c r="E89" s="12" t="s">
        <v>426</v>
      </c>
      <c r="F89" s="12" t="s">
        <v>427</v>
      </c>
      <c r="G89" s="10" t="s">
        <v>437</v>
      </c>
      <c r="H89" s="10"/>
      <c r="I89" s="13"/>
      <c r="J89" s="13"/>
      <c r="K89" s="13"/>
      <c r="L89" s="13">
        <v>85</v>
      </c>
      <c r="M89" s="13">
        <f t="shared" si="2"/>
        <v>75.892857142857139</v>
      </c>
      <c r="N89" s="10"/>
      <c r="O89" s="34"/>
      <c r="P89" s="10"/>
      <c r="Q89" s="13">
        <v>9.1071428571428559</v>
      </c>
      <c r="R89" s="13">
        <v>0</v>
      </c>
      <c r="S89" s="13"/>
      <c r="T89" s="13">
        <v>75.89</v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J89" s="13">
        <f t="shared" si="3"/>
        <v>-84.997142857142862</v>
      </c>
      <c r="AK89" s="105"/>
    </row>
    <row r="90" spans="1:37">
      <c r="A90" s="9">
        <v>43393</v>
      </c>
      <c r="B90" s="10" t="s">
        <v>744</v>
      </c>
      <c r="C90" s="11">
        <v>141873</v>
      </c>
      <c r="D90" s="11"/>
      <c r="E90" s="12" t="s">
        <v>430</v>
      </c>
      <c r="F90" s="12" t="s">
        <v>431</v>
      </c>
      <c r="G90" s="10" t="s">
        <v>840</v>
      </c>
      <c r="H90" s="10"/>
      <c r="I90" s="13"/>
      <c r="J90" s="13"/>
      <c r="K90" s="13"/>
      <c r="L90" s="13">
        <v>852.8</v>
      </c>
      <c r="M90" s="13">
        <f t="shared" si="2"/>
        <v>761.42857142857133</v>
      </c>
      <c r="N90" s="10"/>
      <c r="O90" s="34"/>
      <c r="P90" s="10"/>
      <c r="Q90" s="13">
        <v>91.371428571428552</v>
      </c>
      <c r="R90" s="13">
        <v>0</v>
      </c>
      <c r="S90" s="13">
        <v>761.43</v>
      </c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J90" s="13">
        <f t="shared" si="3"/>
        <v>-852.80142857142846</v>
      </c>
      <c r="AK90" s="105"/>
    </row>
    <row r="91" spans="1:37">
      <c r="A91" s="9">
        <v>43393</v>
      </c>
      <c r="B91" s="10" t="s">
        <v>745</v>
      </c>
      <c r="C91" s="11">
        <v>141873</v>
      </c>
      <c r="D91" s="11"/>
      <c r="E91" s="12" t="s">
        <v>430</v>
      </c>
      <c r="F91" s="12" t="s">
        <v>431</v>
      </c>
      <c r="G91" s="10" t="s">
        <v>790</v>
      </c>
      <c r="H91" s="10"/>
      <c r="I91" s="13"/>
      <c r="J91" s="13"/>
      <c r="K91" s="13">
        <v>75</v>
      </c>
      <c r="L91" s="13"/>
      <c r="M91" s="13">
        <f t="shared" si="2"/>
        <v>75</v>
      </c>
      <c r="N91" s="10"/>
      <c r="O91" s="34"/>
      <c r="P91" s="10"/>
      <c r="Q91" s="13">
        <v>0</v>
      </c>
      <c r="R91" s="13">
        <v>0</v>
      </c>
      <c r="S91" s="13">
        <v>75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J91" s="13">
        <f t="shared" si="3"/>
        <v>-75</v>
      </c>
      <c r="AK91" s="105"/>
    </row>
    <row r="92" spans="1:37">
      <c r="A92" s="9">
        <v>43395</v>
      </c>
      <c r="B92" s="10" t="s">
        <v>746</v>
      </c>
      <c r="C92" s="11"/>
      <c r="D92" s="11"/>
      <c r="E92" s="12" t="s">
        <v>783</v>
      </c>
      <c r="F92" s="12"/>
      <c r="G92" s="10" t="s">
        <v>841</v>
      </c>
      <c r="H92" s="10"/>
      <c r="I92" s="13"/>
      <c r="J92" s="13"/>
      <c r="K92" s="13">
        <v>1605</v>
      </c>
      <c r="L92" s="13"/>
      <c r="M92" s="13">
        <f t="shared" si="2"/>
        <v>1605</v>
      </c>
      <c r="N92" s="10"/>
      <c r="O92" s="34"/>
      <c r="P92" s="10"/>
      <c r="Q92" s="13">
        <v>0</v>
      </c>
      <c r="R92" s="13">
        <v>0</v>
      </c>
      <c r="S92" s="13">
        <v>1605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J92" s="13">
        <f t="shared" si="3"/>
        <v>-1605</v>
      </c>
      <c r="AK92" s="105"/>
    </row>
    <row r="93" spans="1:37">
      <c r="A93" s="9">
        <v>43395</v>
      </c>
      <c r="B93" s="10" t="s">
        <v>747</v>
      </c>
      <c r="C93" s="11">
        <v>150333</v>
      </c>
      <c r="D93" s="11"/>
      <c r="E93" s="12" t="s">
        <v>426</v>
      </c>
      <c r="F93" s="12" t="s">
        <v>427</v>
      </c>
      <c r="G93" s="10" t="s">
        <v>437</v>
      </c>
      <c r="H93" s="10"/>
      <c r="I93" s="13"/>
      <c r="J93" s="13"/>
      <c r="K93" s="13"/>
      <c r="L93" s="13">
        <v>170</v>
      </c>
      <c r="M93" s="13">
        <f t="shared" si="2"/>
        <v>151.78571428571428</v>
      </c>
      <c r="N93" s="10"/>
      <c r="O93" s="34"/>
      <c r="P93" s="10"/>
      <c r="Q93" s="13">
        <v>18.214285714285712</v>
      </c>
      <c r="R93" s="13">
        <v>0</v>
      </c>
      <c r="S93" s="13"/>
      <c r="T93" s="13">
        <v>151.79</v>
      </c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J93" s="13">
        <f t="shared" si="3"/>
        <v>-170.00428571428571</v>
      </c>
      <c r="AK93" s="105"/>
    </row>
    <row r="94" spans="1:37">
      <c r="A94" s="9">
        <v>43395</v>
      </c>
      <c r="B94" s="10" t="s">
        <v>748</v>
      </c>
      <c r="C94" s="11">
        <v>90935</v>
      </c>
      <c r="D94" s="11"/>
      <c r="E94" s="12" t="s">
        <v>433</v>
      </c>
      <c r="F94" s="12" t="s">
        <v>452</v>
      </c>
      <c r="G94" s="10" t="s">
        <v>842</v>
      </c>
      <c r="H94" s="10"/>
      <c r="I94" s="13"/>
      <c r="J94" s="13"/>
      <c r="K94" s="13"/>
      <c r="L94" s="13">
        <v>374.42</v>
      </c>
      <c r="M94" s="13">
        <f t="shared" si="2"/>
        <v>334.30357142857139</v>
      </c>
      <c r="N94" s="10"/>
      <c r="O94" s="34"/>
      <c r="P94" s="10"/>
      <c r="Q94" s="13">
        <v>40.116428571428564</v>
      </c>
      <c r="R94" s="13">
        <v>0</v>
      </c>
      <c r="S94" s="13">
        <v>334.3</v>
      </c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J94" s="13">
        <f t="shared" si="3"/>
        <v>-374.41642857142858</v>
      </c>
      <c r="AK94" s="105"/>
    </row>
    <row r="95" spans="1:37">
      <c r="A95" s="9">
        <v>43396</v>
      </c>
      <c r="B95" s="10" t="s">
        <v>749</v>
      </c>
      <c r="C95" s="11"/>
      <c r="D95" s="11"/>
      <c r="E95" s="12" t="s">
        <v>424</v>
      </c>
      <c r="F95" s="12"/>
      <c r="G95" s="10" t="s">
        <v>843</v>
      </c>
      <c r="H95" s="10"/>
      <c r="I95" s="13">
        <v>40</v>
      </c>
      <c r="J95" s="13"/>
      <c r="K95" s="13"/>
      <c r="L95" s="13"/>
      <c r="M95" s="13">
        <f t="shared" si="2"/>
        <v>40</v>
      </c>
      <c r="N95" s="10"/>
      <c r="O95" s="34"/>
      <c r="P95" s="10"/>
      <c r="Q95" s="13">
        <v>0</v>
      </c>
      <c r="R95" s="13">
        <v>0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>
        <v>40</v>
      </c>
      <c r="AE95" s="13"/>
      <c r="AF95" s="13"/>
      <c r="AG95" s="13"/>
      <c r="AH95" s="13"/>
      <c r="AJ95" s="13">
        <f t="shared" si="3"/>
        <v>-40</v>
      </c>
      <c r="AK95" s="105"/>
    </row>
    <row r="96" spans="1:37">
      <c r="A96" s="9">
        <v>43396</v>
      </c>
      <c r="B96" s="10" t="s">
        <v>750</v>
      </c>
      <c r="C96" s="11">
        <v>113298</v>
      </c>
      <c r="D96" s="11"/>
      <c r="E96" s="12" t="s">
        <v>430</v>
      </c>
      <c r="F96" s="12" t="s">
        <v>431</v>
      </c>
      <c r="G96" s="10" t="s">
        <v>844</v>
      </c>
      <c r="H96" s="10"/>
      <c r="I96" s="13"/>
      <c r="J96" s="13"/>
      <c r="K96" s="13"/>
      <c r="L96" s="13">
        <v>64.75</v>
      </c>
      <c r="M96" s="13">
        <f t="shared" si="2"/>
        <v>57.812499999999993</v>
      </c>
      <c r="N96" s="10"/>
      <c r="O96" s="34"/>
      <c r="P96" s="10"/>
      <c r="Q96" s="13">
        <v>6.9374999999999991</v>
      </c>
      <c r="R96" s="13">
        <v>0</v>
      </c>
      <c r="S96" s="13"/>
      <c r="T96" s="13"/>
      <c r="U96" s="13"/>
      <c r="V96" s="13"/>
      <c r="W96" s="13"/>
      <c r="X96" s="13"/>
      <c r="Y96" s="13"/>
      <c r="Z96" s="13"/>
      <c r="AA96" s="13"/>
      <c r="AB96" s="13">
        <v>57.81</v>
      </c>
      <c r="AC96" s="13"/>
      <c r="AD96" s="13"/>
      <c r="AE96" s="13"/>
      <c r="AF96" s="13"/>
      <c r="AG96" s="13"/>
      <c r="AH96" s="13"/>
      <c r="AJ96" s="13">
        <f t="shared" si="3"/>
        <v>-64.747500000000002</v>
      </c>
      <c r="AK96" s="105"/>
    </row>
    <row r="97" spans="1:37">
      <c r="A97" s="9">
        <v>43396</v>
      </c>
      <c r="B97" s="10" t="s">
        <v>751</v>
      </c>
      <c r="C97" s="11">
        <v>100111</v>
      </c>
      <c r="D97" s="11"/>
      <c r="E97" s="12" t="s">
        <v>430</v>
      </c>
      <c r="F97" s="12" t="s">
        <v>431</v>
      </c>
      <c r="G97" s="10" t="s">
        <v>845</v>
      </c>
      <c r="H97" s="10"/>
      <c r="I97" s="13"/>
      <c r="J97" s="13"/>
      <c r="K97" s="13"/>
      <c r="L97" s="13">
        <v>1475</v>
      </c>
      <c r="M97" s="13">
        <f t="shared" si="2"/>
        <v>1316.9642857142856</v>
      </c>
      <c r="N97" s="10"/>
      <c r="O97" s="34"/>
      <c r="P97" s="10"/>
      <c r="Q97" s="13">
        <v>158.03571428571425</v>
      </c>
      <c r="R97" s="13">
        <v>0</v>
      </c>
      <c r="S97" s="13">
        <v>1316.96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-1474.9957142857143</v>
      </c>
      <c r="AK97" s="105"/>
    </row>
    <row r="98" spans="1:37">
      <c r="A98" s="9">
        <v>43396</v>
      </c>
      <c r="B98" s="10" t="s">
        <v>752</v>
      </c>
      <c r="C98" s="11">
        <v>10011</v>
      </c>
      <c r="D98" s="11"/>
      <c r="E98" s="12" t="s">
        <v>430</v>
      </c>
      <c r="F98" s="12" t="s">
        <v>431</v>
      </c>
      <c r="G98" s="10" t="s">
        <v>846</v>
      </c>
      <c r="H98" s="10"/>
      <c r="I98" s="13"/>
      <c r="J98" s="13"/>
      <c r="K98" s="13">
        <v>245.5</v>
      </c>
      <c r="L98" s="13"/>
      <c r="M98" s="13">
        <f t="shared" si="2"/>
        <v>245.5</v>
      </c>
      <c r="N98" s="10"/>
      <c r="O98" s="34"/>
      <c r="P98" s="10"/>
      <c r="Q98" s="13">
        <v>0</v>
      </c>
      <c r="R98" s="13">
        <v>0</v>
      </c>
      <c r="S98" s="13">
        <v>245.5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J98" s="13">
        <f t="shared" si="3"/>
        <v>-245.5</v>
      </c>
      <c r="AK98" s="105"/>
    </row>
    <row r="99" spans="1:37">
      <c r="A99" s="9">
        <v>43396</v>
      </c>
      <c r="B99" s="10" t="s">
        <v>753</v>
      </c>
      <c r="C99" s="11">
        <v>113301</v>
      </c>
      <c r="D99" s="11"/>
      <c r="E99" s="12" t="s">
        <v>430</v>
      </c>
      <c r="F99" s="12" t="s">
        <v>431</v>
      </c>
      <c r="G99" s="10" t="s">
        <v>847</v>
      </c>
      <c r="H99" s="10"/>
      <c r="I99" s="13"/>
      <c r="J99" s="13"/>
      <c r="K99" s="13"/>
      <c r="L99" s="13">
        <v>25</v>
      </c>
      <c r="M99" s="13">
        <f t="shared" si="2"/>
        <v>22.321428571428569</v>
      </c>
      <c r="N99" s="10"/>
      <c r="O99" s="34"/>
      <c r="P99" s="10"/>
      <c r="Q99" s="13">
        <v>2.6785714285714284</v>
      </c>
      <c r="R99" s="13">
        <v>0</v>
      </c>
      <c r="S99" s="13">
        <v>22.32</v>
      </c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J99" s="13">
        <f t="shared" si="3"/>
        <v>-24.998571428571427</v>
      </c>
      <c r="AK99" s="105"/>
    </row>
    <row r="100" spans="1:37">
      <c r="A100" s="9">
        <v>43396</v>
      </c>
      <c r="B100" s="10" t="s">
        <v>754</v>
      </c>
      <c r="C100" s="11">
        <v>145030</v>
      </c>
      <c r="D100" s="11"/>
      <c r="E100" s="12" t="s">
        <v>426</v>
      </c>
      <c r="F100" s="12" t="s">
        <v>427</v>
      </c>
      <c r="G100" s="10" t="s">
        <v>437</v>
      </c>
      <c r="H100" s="10"/>
      <c r="I100" s="13"/>
      <c r="J100" s="13"/>
      <c r="K100" s="13"/>
      <c r="L100" s="13">
        <v>170</v>
      </c>
      <c r="M100" s="13">
        <f t="shared" si="2"/>
        <v>151.78571428571428</v>
      </c>
      <c r="N100" s="10"/>
      <c r="O100" s="34"/>
      <c r="P100" s="10"/>
      <c r="Q100" s="13">
        <v>18.214285714285712</v>
      </c>
      <c r="R100" s="13">
        <v>0</v>
      </c>
      <c r="S100" s="13"/>
      <c r="T100" s="13">
        <v>151.79</v>
      </c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J100" s="13">
        <f t="shared" si="3"/>
        <v>-170.00428571428571</v>
      </c>
      <c r="AK100" s="105"/>
    </row>
    <row r="101" spans="1:37">
      <c r="A101" s="9">
        <v>43397</v>
      </c>
      <c r="B101" s="10" t="s">
        <v>755</v>
      </c>
      <c r="C101" s="11"/>
      <c r="D101" s="11"/>
      <c r="E101" s="12" t="s">
        <v>784</v>
      </c>
      <c r="F101" s="12"/>
      <c r="G101" s="10" t="s">
        <v>848</v>
      </c>
      <c r="H101" s="10"/>
      <c r="I101" s="13">
        <v>34</v>
      </c>
      <c r="J101" s="13"/>
      <c r="K101" s="13"/>
      <c r="L101" s="13"/>
      <c r="M101" s="13">
        <f t="shared" si="2"/>
        <v>34</v>
      </c>
      <c r="N101" s="10"/>
      <c r="O101" s="34"/>
      <c r="P101" s="10"/>
      <c r="Q101" s="13">
        <v>0</v>
      </c>
      <c r="R101" s="13">
        <v>0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>
        <v>34</v>
      </c>
      <c r="AH101" s="13"/>
      <c r="AJ101" s="13">
        <f t="shared" si="3"/>
        <v>-34</v>
      </c>
      <c r="AK101" s="105"/>
    </row>
    <row r="102" spans="1:37">
      <c r="A102" s="9">
        <v>43396</v>
      </c>
      <c r="B102" s="10" t="s">
        <v>756</v>
      </c>
      <c r="C102" s="11"/>
      <c r="D102" s="11"/>
      <c r="E102" s="12" t="s">
        <v>432</v>
      </c>
      <c r="F102" s="12"/>
      <c r="G102" s="10" t="s">
        <v>799</v>
      </c>
      <c r="H102" s="10"/>
      <c r="I102" s="13">
        <v>502</v>
      </c>
      <c r="J102" s="13"/>
      <c r="K102" s="13"/>
      <c r="L102" s="13"/>
      <c r="M102" s="13">
        <f t="shared" si="2"/>
        <v>502</v>
      </c>
      <c r="N102" s="10"/>
      <c r="O102" s="34"/>
      <c r="P102" s="10"/>
      <c r="Q102" s="13">
        <v>0</v>
      </c>
      <c r="R102" s="13">
        <v>0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>
        <v>502</v>
      </c>
      <c r="AE102" s="13"/>
      <c r="AF102" s="13"/>
      <c r="AG102" s="13"/>
      <c r="AH102" s="13"/>
      <c r="AJ102" s="13">
        <f t="shared" si="3"/>
        <v>-502</v>
      </c>
      <c r="AK102" s="105"/>
    </row>
    <row r="103" spans="1:37">
      <c r="A103" s="9">
        <v>43397</v>
      </c>
      <c r="B103" s="10" t="s">
        <v>757</v>
      </c>
      <c r="C103" s="11">
        <v>2711</v>
      </c>
      <c r="D103" s="11"/>
      <c r="E103" s="12" t="s">
        <v>421</v>
      </c>
      <c r="F103" s="12" t="s">
        <v>422</v>
      </c>
      <c r="G103" s="10" t="s">
        <v>849</v>
      </c>
      <c r="H103" s="10"/>
      <c r="I103" s="13"/>
      <c r="J103" s="13"/>
      <c r="K103" s="13">
        <v>1755</v>
      </c>
      <c r="L103" s="13"/>
      <c r="M103" s="13">
        <f t="shared" si="2"/>
        <v>1755</v>
      </c>
      <c r="N103" s="10"/>
      <c r="O103" s="34"/>
      <c r="P103" s="10"/>
      <c r="Q103" s="13">
        <v>0</v>
      </c>
      <c r="R103" s="13">
        <v>0</v>
      </c>
      <c r="S103" s="13">
        <v>1755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-1755</v>
      </c>
      <c r="AK103" s="105"/>
    </row>
    <row r="104" spans="1:37">
      <c r="A104" s="9">
        <v>43397</v>
      </c>
      <c r="B104" s="10" t="s">
        <v>758</v>
      </c>
      <c r="C104" s="11"/>
      <c r="D104" s="11"/>
      <c r="E104" s="12" t="s">
        <v>423</v>
      </c>
      <c r="F104" s="12"/>
      <c r="G104" s="10" t="s">
        <v>850</v>
      </c>
      <c r="H104" s="10"/>
      <c r="I104" s="13">
        <v>100</v>
      </c>
      <c r="J104" s="13"/>
      <c r="K104" s="13"/>
      <c r="L104" s="13"/>
      <c r="M104" s="13">
        <f t="shared" si="2"/>
        <v>100</v>
      </c>
      <c r="N104" s="10"/>
      <c r="O104" s="34"/>
      <c r="P104" s="10"/>
      <c r="Q104" s="13">
        <v>0</v>
      </c>
      <c r="R104" s="13">
        <v>0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>
        <v>100</v>
      </c>
      <c r="AE104" s="13"/>
      <c r="AF104" s="13"/>
      <c r="AG104" s="13"/>
      <c r="AH104" s="13"/>
      <c r="AJ104" s="13">
        <f t="shared" si="3"/>
        <v>-100</v>
      </c>
      <c r="AK104" s="105"/>
    </row>
    <row r="105" spans="1:37">
      <c r="A105" s="9">
        <v>43397</v>
      </c>
      <c r="B105" s="10" t="s">
        <v>759</v>
      </c>
      <c r="C105" s="11"/>
      <c r="D105" s="11"/>
      <c r="E105" s="12" t="s">
        <v>457</v>
      </c>
      <c r="F105" s="12"/>
      <c r="G105" s="10" t="s">
        <v>851</v>
      </c>
      <c r="H105" s="10"/>
      <c r="I105" s="13">
        <v>1353.27</v>
      </c>
      <c r="J105" s="13"/>
      <c r="K105" s="13"/>
      <c r="L105" s="13"/>
      <c r="M105" s="13">
        <f t="shared" si="2"/>
        <v>1353.27</v>
      </c>
      <c r="N105" s="10"/>
      <c r="O105" s="34"/>
      <c r="P105" s="10"/>
      <c r="Q105" s="13">
        <v>0</v>
      </c>
      <c r="R105" s="13">
        <v>0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>
        <v>1353.27</v>
      </c>
      <c r="AH105" s="13"/>
      <c r="AJ105" s="13">
        <f t="shared" si="3"/>
        <v>-1353.27</v>
      </c>
      <c r="AK105" s="105"/>
    </row>
    <row r="106" spans="1:37">
      <c r="A106" s="9">
        <v>43397</v>
      </c>
      <c r="B106" s="10" t="s">
        <v>560</v>
      </c>
      <c r="C106" s="11">
        <v>136066</v>
      </c>
      <c r="D106" s="11"/>
      <c r="E106" s="12" t="s">
        <v>426</v>
      </c>
      <c r="F106" s="12" t="s">
        <v>427</v>
      </c>
      <c r="G106" s="10" t="s">
        <v>437</v>
      </c>
      <c r="H106" s="10"/>
      <c r="I106" s="13"/>
      <c r="J106" s="13"/>
      <c r="K106" s="13"/>
      <c r="L106" s="13">
        <v>170</v>
      </c>
      <c r="M106" s="13">
        <f t="shared" si="2"/>
        <v>151.78571428571428</v>
      </c>
      <c r="N106" s="10"/>
      <c r="O106" s="34"/>
      <c r="P106" s="10"/>
      <c r="Q106" s="13">
        <v>18.214285714285712</v>
      </c>
      <c r="R106" s="13">
        <v>0</v>
      </c>
      <c r="S106" s="13"/>
      <c r="T106" s="13">
        <v>151.79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J106" s="13">
        <f t="shared" si="3"/>
        <v>-170.00428571428571</v>
      </c>
      <c r="AK106" s="105"/>
    </row>
    <row r="107" spans="1:37">
      <c r="A107" s="9">
        <v>43398</v>
      </c>
      <c r="B107" s="10" t="s">
        <v>561</v>
      </c>
      <c r="C107" s="11">
        <v>1698</v>
      </c>
      <c r="D107" s="11"/>
      <c r="E107" s="12" t="s">
        <v>435</v>
      </c>
      <c r="F107" s="12" t="s">
        <v>436</v>
      </c>
      <c r="G107" s="10" t="s">
        <v>852</v>
      </c>
      <c r="H107" s="10"/>
      <c r="I107" s="10"/>
      <c r="J107" s="10"/>
      <c r="K107" s="10"/>
      <c r="L107" s="10">
        <v>3150</v>
      </c>
      <c r="M107" s="13">
        <f t="shared" si="2"/>
        <v>2812.4999999999995</v>
      </c>
      <c r="N107" s="10"/>
      <c r="O107" s="34">
        <v>0.01</v>
      </c>
      <c r="P107" s="10"/>
      <c r="Q107" s="13">
        <v>337.49999999999994</v>
      </c>
      <c r="R107" s="13">
        <v>-28.124999999999996</v>
      </c>
      <c r="S107" s="13">
        <v>2812.5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-3121.875</v>
      </c>
      <c r="AK107" s="105"/>
    </row>
    <row r="108" spans="1:37">
      <c r="A108" s="9">
        <v>43398</v>
      </c>
      <c r="B108" s="10" t="s">
        <v>562</v>
      </c>
      <c r="C108" s="11">
        <v>157119</v>
      </c>
      <c r="D108" s="11"/>
      <c r="E108" s="12" t="s">
        <v>426</v>
      </c>
      <c r="F108" s="12" t="s">
        <v>427</v>
      </c>
      <c r="G108" s="10" t="s">
        <v>437</v>
      </c>
      <c r="H108" s="10"/>
      <c r="I108" s="10"/>
      <c r="J108" s="10"/>
      <c r="K108" s="10"/>
      <c r="L108" s="10">
        <v>170</v>
      </c>
      <c r="M108" s="13">
        <f t="shared" si="2"/>
        <v>151.78571428571428</v>
      </c>
      <c r="N108" s="10"/>
      <c r="O108" s="34"/>
      <c r="P108" s="10"/>
      <c r="Q108" s="13">
        <v>18.214285714285712</v>
      </c>
      <c r="R108" s="13">
        <v>0</v>
      </c>
      <c r="S108" s="13">
        <v>151.79</v>
      </c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J108" s="13">
        <f t="shared" si="3"/>
        <v>-170.00428571428571</v>
      </c>
      <c r="AK108" s="105"/>
    </row>
    <row r="109" spans="1:37">
      <c r="A109" s="9">
        <v>43398</v>
      </c>
      <c r="B109" s="10" t="s">
        <v>563</v>
      </c>
      <c r="C109" s="11"/>
      <c r="D109" s="11"/>
      <c r="E109" s="12" t="s">
        <v>423</v>
      </c>
      <c r="F109" s="12"/>
      <c r="G109" s="10" t="s">
        <v>441</v>
      </c>
      <c r="H109" s="10"/>
      <c r="I109" s="10">
        <v>100</v>
      </c>
      <c r="J109" s="10"/>
      <c r="K109" s="10"/>
      <c r="L109" s="10"/>
      <c r="M109" s="13">
        <f t="shared" si="2"/>
        <v>100</v>
      </c>
      <c r="N109" s="10"/>
      <c r="O109" s="34"/>
      <c r="P109" s="10"/>
      <c r="Q109" s="13">
        <v>0</v>
      </c>
      <c r="R109" s="13">
        <v>0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>
        <v>100</v>
      </c>
      <c r="AE109" s="13"/>
      <c r="AF109" s="13"/>
      <c r="AG109" s="13"/>
      <c r="AH109" s="13"/>
      <c r="AJ109" s="13">
        <f t="shared" si="3"/>
        <v>-100</v>
      </c>
      <c r="AK109" s="105"/>
    </row>
    <row r="110" spans="1:37">
      <c r="A110" s="9">
        <v>1026</v>
      </c>
      <c r="B110" s="10" t="s">
        <v>564</v>
      </c>
      <c r="C110" s="11">
        <v>152301</v>
      </c>
      <c r="D110" s="11"/>
      <c r="E110" s="12" t="s">
        <v>430</v>
      </c>
      <c r="F110" s="12" t="s">
        <v>431</v>
      </c>
      <c r="G110" s="10" t="s">
        <v>853</v>
      </c>
      <c r="H110" s="10"/>
      <c r="I110" s="10"/>
      <c r="J110" s="10"/>
      <c r="K110" s="10">
        <v>622.54999999999995</v>
      </c>
      <c r="L110" s="10"/>
      <c r="M110" s="13">
        <f t="shared" si="2"/>
        <v>622.54999999999995</v>
      </c>
      <c r="N110" s="10"/>
      <c r="O110" s="34"/>
      <c r="P110" s="10"/>
      <c r="Q110" s="13">
        <v>0</v>
      </c>
      <c r="R110" s="13">
        <v>0</v>
      </c>
      <c r="S110" s="13">
        <v>622.54999999999995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-622.54999999999995</v>
      </c>
      <c r="AK110" s="105"/>
    </row>
    <row r="111" spans="1:37">
      <c r="A111" s="9">
        <v>1026</v>
      </c>
      <c r="B111" s="10" t="s">
        <v>565</v>
      </c>
      <c r="C111" s="11">
        <v>152301</v>
      </c>
      <c r="D111" s="11"/>
      <c r="E111" s="12" t="s">
        <v>430</v>
      </c>
      <c r="F111" s="12" t="s">
        <v>431</v>
      </c>
      <c r="G111" s="10" t="s">
        <v>854</v>
      </c>
      <c r="H111" s="10"/>
      <c r="I111" s="10"/>
      <c r="J111" s="10"/>
      <c r="K111" s="10"/>
      <c r="L111" s="10">
        <v>304.79999999999995</v>
      </c>
      <c r="M111" s="13">
        <f t="shared" si="2"/>
        <v>272.14285714285705</v>
      </c>
      <c r="N111" s="10"/>
      <c r="O111" s="34"/>
      <c r="P111" s="10"/>
      <c r="Q111" s="13">
        <v>32.657142857142844</v>
      </c>
      <c r="R111" s="13">
        <v>0</v>
      </c>
      <c r="S111" s="13">
        <v>272.14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J111" s="13">
        <f t="shared" si="3"/>
        <v>-304.79714285714283</v>
      </c>
      <c r="AK111" s="105"/>
    </row>
    <row r="112" spans="1:37">
      <c r="A112" s="9">
        <v>43399</v>
      </c>
      <c r="B112" s="10" t="s">
        <v>566</v>
      </c>
      <c r="C112" s="11">
        <v>157668</v>
      </c>
      <c r="D112" s="11"/>
      <c r="E112" s="12" t="s">
        <v>426</v>
      </c>
      <c r="F112" s="12" t="s">
        <v>427</v>
      </c>
      <c r="G112" s="10" t="s">
        <v>437</v>
      </c>
      <c r="H112" s="10"/>
      <c r="I112" s="10"/>
      <c r="J112" s="10"/>
      <c r="K112" s="10"/>
      <c r="L112" s="10">
        <v>170</v>
      </c>
      <c r="M112" s="13">
        <f t="shared" si="2"/>
        <v>151.78571428571428</v>
      </c>
      <c r="N112" s="10"/>
      <c r="O112" s="34"/>
      <c r="P112" s="10"/>
      <c r="Q112" s="13">
        <v>18.214285714285712</v>
      </c>
      <c r="R112" s="13">
        <v>0</v>
      </c>
      <c r="S112" s="13"/>
      <c r="T112" s="13">
        <v>151.79</v>
      </c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-170.00428571428571</v>
      </c>
      <c r="AK112" s="105"/>
    </row>
    <row r="113" spans="1:37">
      <c r="A113" s="9">
        <v>43399</v>
      </c>
      <c r="B113" s="10" t="s">
        <v>567</v>
      </c>
      <c r="C113" s="11"/>
      <c r="D113" s="11"/>
      <c r="E113" s="12" t="s">
        <v>451</v>
      </c>
      <c r="F113" s="12"/>
      <c r="G113" s="10" t="s">
        <v>855</v>
      </c>
      <c r="H113" s="10"/>
      <c r="I113" s="10">
        <v>220</v>
      </c>
      <c r="J113" s="10"/>
      <c r="K113" s="10"/>
      <c r="L113" s="10"/>
      <c r="M113" s="13">
        <f t="shared" si="2"/>
        <v>220</v>
      </c>
      <c r="N113" s="10"/>
      <c r="O113" s="34"/>
      <c r="P113" s="10"/>
      <c r="Q113" s="13">
        <v>0</v>
      </c>
      <c r="R113" s="13">
        <v>0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>
        <v>220</v>
      </c>
      <c r="AE113" s="13"/>
      <c r="AF113" s="13"/>
      <c r="AG113" s="13"/>
      <c r="AH113" s="13"/>
      <c r="AJ113" s="13">
        <f t="shared" si="3"/>
        <v>-220</v>
      </c>
      <c r="AK113" s="105"/>
    </row>
    <row r="114" spans="1:37">
      <c r="A114" s="9">
        <v>43399</v>
      </c>
      <c r="B114" s="10" t="s">
        <v>568</v>
      </c>
      <c r="C114" s="11">
        <v>707372</v>
      </c>
      <c r="D114" s="11"/>
      <c r="E114" s="12" t="s">
        <v>428</v>
      </c>
      <c r="F114" s="12" t="s">
        <v>456</v>
      </c>
      <c r="G114" s="10" t="s">
        <v>856</v>
      </c>
      <c r="H114" s="10"/>
      <c r="I114" s="10"/>
      <c r="J114" s="10"/>
      <c r="K114" s="10"/>
      <c r="L114" s="10">
        <v>45</v>
      </c>
      <c r="M114" s="13">
        <f t="shared" si="2"/>
        <v>40.178571428571423</v>
      </c>
      <c r="N114" s="10"/>
      <c r="O114" s="34"/>
      <c r="P114" s="10"/>
      <c r="Q114" s="13">
        <v>4.8214285714285703</v>
      </c>
      <c r="R114" s="13">
        <v>0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>
        <v>40.18</v>
      </c>
      <c r="AD114" s="13"/>
      <c r="AE114" s="13"/>
      <c r="AF114" s="13"/>
      <c r="AG114" s="13"/>
      <c r="AH114" s="13"/>
      <c r="AJ114" s="13">
        <f t="shared" si="3"/>
        <v>-45.001428571428569</v>
      </c>
      <c r="AK114" s="105"/>
    </row>
    <row r="115" spans="1:37">
      <c r="A115" s="9">
        <v>43400</v>
      </c>
      <c r="B115" s="10" t="s">
        <v>569</v>
      </c>
      <c r="C115" s="11"/>
      <c r="D115" s="11"/>
      <c r="E115" s="12" t="s">
        <v>432</v>
      </c>
      <c r="F115" s="12"/>
      <c r="G115" s="10" t="s">
        <v>857</v>
      </c>
      <c r="H115" s="10"/>
      <c r="I115" s="10">
        <v>2008</v>
      </c>
      <c r="J115" s="10"/>
      <c r="K115" s="10"/>
      <c r="L115" s="10"/>
      <c r="M115" s="13">
        <f t="shared" si="2"/>
        <v>2008</v>
      </c>
      <c r="N115" s="10"/>
      <c r="O115" s="34"/>
      <c r="P115" s="10"/>
      <c r="Q115" s="13">
        <v>0</v>
      </c>
      <c r="R115" s="13">
        <v>0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>
        <v>2008</v>
      </c>
      <c r="AF115" s="13"/>
      <c r="AG115" s="13"/>
      <c r="AH115" s="13"/>
      <c r="AJ115" s="13">
        <f t="shared" si="3"/>
        <v>-2008</v>
      </c>
      <c r="AK115" s="105"/>
    </row>
    <row r="116" spans="1:37">
      <c r="A116" s="9">
        <v>43400</v>
      </c>
      <c r="B116" s="10" t="s">
        <v>570</v>
      </c>
      <c r="C116" s="11">
        <v>391</v>
      </c>
      <c r="D116" s="11"/>
      <c r="E116" s="12" t="s">
        <v>453</v>
      </c>
      <c r="F116" s="12" t="s">
        <v>454</v>
      </c>
      <c r="G116" s="10" t="s">
        <v>437</v>
      </c>
      <c r="H116" s="10"/>
      <c r="I116" s="10"/>
      <c r="J116" s="10"/>
      <c r="K116" s="10"/>
      <c r="L116" s="10">
        <v>38</v>
      </c>
      <c r="M116" s="13">
        <f t="shared" si="2"/>
        <v>33.928571428571423</v>
      </c>
      <c r="N116" s="10"/>
      <c r="O116" s="34"/>
      <c r="P116" s="10"/>
      <c r="Q116" s="13">
        <v>4.0714285714285703</v>
      </c>
      <c r="R116" s="13">
        <v>0</v>
      </c>
      <c r="S116" s="13"/>
      <c r="T116" s="13">
        <v>33.93</v>
      </c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J116" s="13">
        <f t="shared" si="3"/>
        <v>-38.001428571428569</v>
      </c>
      <c r="AK116" s="105"/>
    </row>
    <row r="117" spans="1:37">
      <c r="A117" s="9">
        <v>43400</v>
      </c>
      <c r="B117" s="10" t="s">
        <v>571</v>
      </c>
      <c r="C117" s="11">
        <v>32574</v>
      </c>
      <c r="D117" s="11"/>
      <c r="E117" s="12" t="s">
        <v>433</v>
      </c>
      <c r="F117" s="12" t="s">
        <v>452</v>
      </c>
      <c r="G117" s="10" t="s">
        <v>858</v>
      </c>
      <c r="H117" s="10"/>
      <c r="I117" s="10"/>
      <c r="J117" s="10"/>
      <c r="K117" s="10"/>
      <c r="L117" s="10">
        <v>237</v>
      </c>
      <c r="M117" s="13">
        <f t="shared" si="2"/>
        <v>211.60714285714283</v>
      </c>
      <c r="N117" s="10"/>
      <c r="O117" s="34"/>
      <c r="P117" s="10"/>
      <c r="Q117" s="13">
        <v>25.392857142857139</v>
      </c>
      <c r="R117" s="13">
        <v>0</v>
      </c>
      <c r="S117" s="13">
        <v>211.61</v>
      </c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-237.00285714285715</v>
      </c>
      <c r="AK117" s="105"/>
    </row>
    <row r="118" spans="1:37">
      <c r="A118" s="9">
        <v>43400</v>
      </c>
      <c r="B118" s="10" t="s">
        <v>572</v>
      </c>
      <c r="C118" s="11">
        <v>32573</v>
      </c>
      <c r="D118" s="11"/>
      <c r="E118" s="12" t="s">
        <v>433</v>
      </c>
      <c r="F118" s="12" t="s">
        <v>452</v>
      </c>
      <c r="G118" s="10" t="s">
        <v>859</v>
      </c>
      <c r="H118" s="10"/>
      <c r="I118" s="10"/>
      <c r="J118" s="10"/>
      <c r="K118" s="10"/>
      <c r="L118" s="10">
        <v>48</v>
      </c>
      <c r="M118" s="13">
        <f t="shared" si="2"/>
        <v>42.857142857142854</v>
      </c>
      <c r="N118" s="10"/>
      <c r="O118" s="34"/>
      <c r="P118" s="10"/>
      <c r="Q118" s="13">
        <v>5.1428571428571423</v>
      </c>
      <c r="R118" s="13">
        <v>0</v>
      </c>
      <c r="S118" s="13"/>
      <c r="T118" s="13"/>
      <c r="U118" s="13">
        <v>42.86</v>
      </c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-48.002857142857138</v>
      </c>
      <c r="AK118" s="105"/>
    </row>
    <row r="119" spans="1:37">
      <c r="A119" s="9">
        <v>43400</v>
      </c>
      <c r="B119" s="10" t="s">
        <v>573</v>
      </c>
      <c r="C119" s="11">
        <v>21218</v>
      </c>
      <c r="D119" s="11"/>
      <c r="E119" s="12" t="s">
        <v>435</v>
      </c>
      <c r="F119" s="12" t="s">
        <v>436</v>
      </c>
      <c r="G119" s="10" t="s">
        <v>816</v>
      </c>
      <c r="H119" s="10"/>
      <c r="I119" s="10"/>
      <c r="J119" s="10"/>
      <c r="K119" s="10"/>
      <c r="L119" s="10">
        <v>448</v>
      </c>
      <c r="M119" s="13">
        <f t="shared" si="2"/>
        <v>399.99999999999994</v>
      </c>
      <c r="N119" s="10"/>
      <c r="O119" s="34">
        <v>0.01</v>
      </c>
      <c r="P119" s="10"/>
      <c r="Q119" s="13">
        <v>47.999999999999993</v>
      </c>
      <c r="R119" s="13">
        <v>-3.9999999999999996</v>
      </c>
      <c r="S119" s="13">
        <v>400</v>
      </c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-444</v>
      </c>
      <c r="AK119" s="105"/>
    </row>
    <row r="120" spans="1:37">
      <c r="A120" s="9">
        <v>43402</v>
      </c>
      <c r="B120" s="10" t="s">
        <v>574</v>
      </c>
      <c r="C120" s="11"/>
      <c r="D120" s="11"/>
      <c r="E120" s="12" t="s">
        <v>423</v>
      </c>
      <c r="F120" s="12"/>
      <c r="G120" s="10" t="s">
        <v>860</v>
      </c>
      <c r="H120" s="10"/>
      <c r="I120" s="10"/>
      <c r="J120" s="10"/>
      <c r="K120" s="10">
        <v>70</v>
      </c>
      <c r="L120" s="10"/>
      <c r="M120" s="13">
        <f t="shared" si="2"/>
        <v>70</v>
      </c>
      <c r="N120" s="10"/>
      <c r="O120" s="34"/>
      <c r="P120" s="10"/>
      <c r="Q120" s="13">
        <v>0</v>
      </c>
      <c r="R120" s="13">
        <v>0</v>
      </c>
      <c r="S120" s="13">
        <v>70</v>
      </c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J120" s="13">
        <f t="shared" si="3"/>
        <v>-70</v>
      </c>
      <c r="AK120" s="105"/>
    </row>
    <row r="121" spans="1:37">
      <c r="A121" s="9">
        <v>43402</v>
      </c>
      <c r="B121" s="10" t="s">
        <v>286</v>
      </c>
      <c r="C121" s="11">
        <v>178407</v>
      </c>
      <c r="D121" s="11"/>
      <c r="E121" s="12" t="s">
        <v>426</v>
      </c>
      <c r="F121" s="12" t="s">
        <v>427</v>
      </c>
      <c r="G121" s="10" t="s">
        <v>437</v>
      </c>
      <c r="H121" s="10"/>
      <c r="I121" s="10"/>
      <c r="J121" s="10"/>
      <c r="K121" s="10"/>
      <c r="L121" s="10">
        <v>170</v>
      </c>
      <c r="M121" s="13">
        <f t="shared" si="2"/>
        <v>151.78571428571428</v>
      </c>
      <c r="N121" s="10"/>
      <c r="O121" s="34"/>
      <c r="P121" s="10"/>
      <c r="Q121" s="13">
        <v>18.214285714285712</v>
      </c>
      <c r="R121" s="13">
        <v>0</v>
      </c>
      <c r="S121" s="13"/>
      <c r="T121" s="13">
        <v>151.79</v>
      </c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-170.00428571428571</v>
      </c>
      <c r="AK121" s="105"/>
    </row>
    <row r="122" spans="1:37">
      <c r="A122" s="9">
        <v>43402</v>
      </c>
      <c r="B122" s="10" t="s">
        <v>287</v>
      </c>
      <c r="C122" s="11"/>
      <c r="D122" s="11"/>
      <c r="E122" s="12" t="s">
        <v>432</v>
      </c>
      <c r="F122" s="12"/>
      <c r="G122" s="10" t="s">
        <v>439</v>
      </c>
      <c r="H122" s="10"/>
      <c r="I122" s="10">
        <v>502</v>
      </c>
      <c r="J122" s="10"/>
      <c r="K122" s="10"/>
      <c r="L122" s="10"/>
      <c r="M122" s="13">
        <f t="shared" si="2"/>
        <v>502</v>
      </c>
      <c r="N122" s="10"/>
      <c r="O122" s="34"/>
      <c r="P122" s="10"/>
      <c r="Q122" s="13">
        <v>0</v>
      </c>
      <c r="R122" s="13">
        <v>0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>
        <v>502</v>
      </c>
      <c r="AF122" s="13"/>
      <c r="AG122" s="13"/>
      <c r="AH122" s="13"/>
      <c r="AJ122" s="13">
        <f t="shared" si="3"/>
        <v>-502</v>
      </c>
      <c r="AK122" s="105"/>
    </row>
    <row r="123" spans="1:37">
      <c r="A123" s="9">
        <v>43403</v>
      </c>
      <c r="B123" s="10" t="s">
        <v>288</v>
      </c>
      <c r="C123" s="11">
        <v>8693</v>
      </c>
      <c r="D123" s="11"/>
      <c r="E123" s="12" t="s">
        <v>434</v>
      </c>
      <c r="F123" s="12" t="s">
        <v>425</v>
      </c>
      <c r="G123" s="10" t="s">
        <v>815</v>
      </c>
      <c r="H123" s="10"/>
      <c r="I123" s="10"/>
      <c r="J123" s="10"/>
      <c r="K123" s="10"/>
      <c r="L123" s="10">
        <v>694.09</v>
      </c>
      <c r="M123" s="13">
        <f t="shared" si="2"/>
        <v>619.72321428571422</v>
      </c>
      <c r="N123" s="10"/>
      <c r="O123" s="34"/>
      <c r="P123" s="10"/>
      <c r="Q123" s="13">
        <v>74.366785714285697</v>
      </c>
      <c r="R123" s="13">
        <v>0</v>
      </c>
      <c r="S123" s="13">
        <v>619.72</v>
      </c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J123" s="13">
        <f t="shared" si="3"/>
        <v>-694.08678571428572</v>
      </c>
      <c r="AK123" s="105"/>
    </row>
    <row r="124" spans="1:37">
      <c r="A124" s="9">
        <v>43403</v>
      </c>
      <c r="B124" s="10" t="s">
        <v>289</v>
      </c>
      <c r="C124" s="11">
        <v>178451</v>
      </c>
      <c r="D124" s="11"/>
      <c r="E124" s="12" t="s">
        <v>426</v>
      </c>
      <c r="F124" s="12" t="s">
        <v>427</v>
      </c>
      <c r="G124" s="10" t="s">
        <v>437</v>
      </c>
      <c r="H124" s="10"/>
      <c r="I124" s="10"/>
      <c r="J124" s="10"/>
      <c r="K124" s="10"/>
      <c r="L124" s="10">
        <v>170</v>
      </c>
      <c r="M124" s="13">
        <f t="shared" si="2"/>
        <v>151.78571428571428</v>
      </c>
      <c r="N124" s="10"/>
      <c r="O124" s="34"/>
      <c r="P124" s="10"/>
      <c r="Q124" s="13">
        <v>18.214285714285712</v>
      </c>
      <c r="R124" s="13">
        <v>0</v>
      </c>
      <c r="S124" s="13"/>
      <c r="T124" s="13">
        <v>151.79</v>
      </c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J124" s="13">
        <f t="shared" si="3"/>
        <v>-170.00428571428571</v>
      </c>
      <c r="AK124" s="105"/>
    </row>
    <row r="125" spans="1:37">
      <c r="A125" s="9">
        <v>43403</v>
      </c>
      <c r="B125" s="10" t="s">
        <v>290</v>
      </c>
      <c r="C125" s="11">
        <v>32614</v>
      </c>
      <c r="D125" s="11"/>
      <c r="E125" s="12" t="s">
        <v>433</v>
      </c>
      <c r="F125" s="12" t="s">
        <v>452</v>
      </c>
      <c r="G125" s="10" t="s">
        <v>861</v>
      </c>
      <c r="H125" s="10"/>
      <c r="I125" s="10"/>
      <c r="J125" s="10"/>
      <c r="K125" s="10"/>
      <c r="L125" s="10">
        <v>1066.25</v>
      </c>
      <c r="M125" s="13">
        <f t="shared" si="2"/>
        <v>952.00892857142844</v>
      </c>
      <c r="N125" s="10"/>
      <c r="O125" s="34"/>
      <c r="P125" s="10"/>
      <c r="Q125" s="13">
        <v>114.2410714285714</v>
      </c>
      <c r="R125" s="13">
        <v>0</v>
      </c>
      <c r="S125" s="13">
        <v>952.01</v>
      </c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-1066.2510714285713</v>
      </c>
      <c r="AK125" s="105"/>
    </row>
    <row r="126" spans="1:37">
      <c r="A126" s="9">
        <v>43404</v>
      </c>
      <c r="B126" s="10" t="s">
        <v>291</v>
      </c>
      <c r="C126" s="11">
        <v>178498</v>
      </c>
      <c r="D126" s="11"/>
      <c r="E126" s="12" t="s">
        <v>426</v>
      </c>
      <c r="F126" s="12" t="s">
        <v>427</v>
      </c>
      <c r="G126" s="10" t="s">
        <v>437</v>
      </c>
      <c r="H126" s="10"/>
      <c r="I126" s="10"/>
      <c r="J126" s="10"/>
      <c r="K126" s="10"/>
      <c r="L126" s="10">
        <v>170</v>
      </c>
      <c r="M126" s="13">
        <f t="shared" si="2"/>
        <v>151.78571428571428</v>
      </c>
      <c r="N126" s="10"/>
      <c r="O126" s="34"/>
      <c r="P126" s="10"/>
      <c r="Q126" s="13">
        <v>18.214285714285712</v>
      </c>
      <c r="R126" s="13">
        <v>0</v>
      </c>
      <c r="S126" s="13"/>
      <c r="T126" s="13">
        <v>151.79</v>
      </c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J126" s="13">
        <f t="shared" si="3"/>
        <v>-170.00428571428571</v>
      </c>
      <c r="AK126" s="105"/>
    </row>
    <row r="127" spans="1:37">
      <c r="A127" s="9">
        <v>43404</v>
      </c>
      <c r="B127" s="10" t="s">
        <v>292</v>
      </c>
      <c r="C127" s="11">
        <v>120680</v>
      </c>
      <c r="D127" s="11"/>
      <c r="E127" s="12" t="s">
        <v>430</v>
      </c>
      <c r="F127" s="12" t="s">
        <v>431</v>
      </c>
      <c r="G127" s="10" t="s">
        <v>862</v>
      </c>
      <c r="H127" s="10"/>
      <c r="I127" s="10"/>
      <c r="J127" s="10"/>
      <c r="K127" s="10"/>
      <c r="L127" s="10">
        <v>412</v>
      </c>
      <c r="M127" s="13">
        <f t="shared" si="2"/>
        <v>367.85714285714283</v>
      </c>
      <c r="N127" s="10"/>
      <c r="O127" s="34"/>
      <c r="P127" s="10"/>
      <c r="Q127" s="13">
        <v>44.142857142857139</v>
      </c>
      <c r="R127" s="13">
        <v>0</v>
      </c>
      <c r="S127" s="13">
        <v>367.86</v>
      </c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-412.00285714285712</v>
      </c>
      <c r="AK127" s="105"/>
    </row>
    <row r="128" spans="1:37">
      <c r="A128" s="9"/>
      <c r="B128" s="10" t="s">
        <v>293</v>
      </c>
      <c r="C128" s="11"/>
      <c r="D128" s="11"/>
      <c r="E128" s="12"/>
      <c r="F128" s="12"/>
      <c r="G128" s="10"/>
      <c r="H128" s="10"/>
      <c r="I128" s="10"/>
      <c r="J128" s="10"/>
      <c r="K128" s="10"/>
      <c r="L128" s="10"/>
      <c r="M128" s="13">
        <f t="shared" si="2"/>
        <v>0</v>
      </c>
      <c r="N128" s="10"/>
      <c r="O128" s="34"/>
      <c r="P128" s="10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J128" s="13">
        <f t="shared" si="3"/>
        <v>0</v>
      </c>
      <c r="AK128" s="105"/>
    </row>
    <row r="129" spans="1:37">
      <c r="A129" s="9"/>
      <c r="B129" s="10" t="s">
        <v>294</v>
      </c>
      <c r="C129" s="11"/>
      <c r="D129" s="11"/>
      <c r="E129" s="12"/>
      <c r="F129" s="12"/>
      <c r="G129" s="10"/>
      <c r="H129" s="10"/>
      <c r="I129" s="10"/>
      <c r="J129" s="10"/>
      <c r="K129" s="10"/>
      <c r="L129" s="10"/>
      <c r="M129" s="13">
        <f t="shared" si="2"/>
        <v>0</v>
      </c>
      <c r="N129" s="10"/>
      <c r="O129" s="34"/>
      <c r="P129" s="10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J129" s="13">
        <f t="shared" si="3"/>
        <v>0</v>
      </c>
      <c r="AK129" s="105"/>
    </row>
    <row r="130" spans="1:37">
      <c r="A130" s="9"/>
      <c r="B130" s="10" t="s">
        <v>295</v>
      </c>
      <c r="C130" s="11"/>
      <c r="D130" s="11"/>
      <c r="E130" s="12"/>
      <c r="F130" s="12"/>
      <c r="G130" s="10"/>
      <c r="H130" s="10"/>
      <c r="I130" s="10"/>
      <c r="J130" s="10"/>
      <c r="K130" s="10"/>
      <c r="L130" s="10"/>
      <c r="M130" s="13">
        <f t="shared" si="2"/>
        <v>0</v>
      </c>
      <c r="N130" s="10"/>
      <c r="O130" s="34"/>
      <c r="P130" s="10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J130" s="13">
        <f t="shared" si="3"/>
        <v>0</v>
      </c>
      <c r="AK130" s="105"/>
    </row>
    <row r="131" spans="1:37">
      <c r="A131" s="9"/>
      <c r="B131" s="10" t="s">
        <v>296</v>
      </c>
      <c r="C131" s="11"/>
      <c r="D131" s="11"/>
      <c r="E131" s="12"/>
      <c r="F131" s="12"/>
      <c r="G131" s="10"/>
      <c r="H131" s="10"/>
      <c r="I131" s="10"/>
      <c r="J131" s="10"/>
      <c r="K131" s="10"/>
      <c r="L131" s="10"/>
      <c r="M131" s="13">
        <f t="shared" si="2"/>
        <v>0</v>
      </c>
      <c r="N131" s="10"/>
      <c r="O131" s="34"/>
      <c r="P131" s="10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J131" s="13">
        <f t="shared" si="3"/>
        <v>0</v>
      </c>
      <c r="AK131" s="105"/>
    </row>
    <row r="132" spans="1:37">
      <c r="A132" s="9"/>
      <c r="B132" s="10" t="s">
        <v>297</v>
      </c>
      <c r="C132" s="11"/>
      <c r="D132" s="11"/>
      <c r="E132" s="12"/>
      <c r="F132" s="12"/>
      <c r="G132" s="10"/>
      <c r="H132" s="10"/>
      <c r="I132" s="10"/>
      <c r="J132" s="10"/>
      <c r="K132" s="10"/>
      <c r="L132" s="10"/>
      <c r="M132" s="13">
        <f t="shared" si="2"/>
        <v>0</v>
      </c>
      <c r="N132" s="10"/>
      <c r="O132" s="34"/>
      <c r="P132" s="10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0</v>
      </c>
      <c r="AK132" s="105"/>
    </row>
    <row r="133" spans="1:37">
      <c r="A133" s="9"/>
      <c r="B133" s="10" t="s">
        <v>298</v>
      </c>
      <c r="C133" s="11"/>
      <c r="D133" s="11"/>
      <c r="E133" s="12"/>
      <c r="F133" s="12"/>
      <c r="G133" s="10"/>
      <c r="H133" s="10"/>
      <c r="I133" s="10"/>
      <c r="J133" s="10"/>
      <c r="K133" s="10"/>
      <c r="L133" s="10"/>
      <c r="M133" s="13">
        <f t="shared" si="2"/>
        <v>0</v>
      </c>
      <c r="N133" s="10"/>
      <c r="O133" s="34"/>
      <c r="P133" s="10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0</v>
      </c>
      <c r="AK133" s="105"/>
    </row>
    <row r="134" spans="1:37">
      <c r="A134" s="9"/>
      <c r="B134" s="10" t="s">
        <v>299</v>
      </c>
      <c r="C134" s="11"/>
      <c r="D134" s="11"/>
      <c r="E134" s="12"/>
      <c r="F134" s="12"/>
      <c r="G134" s="10"/>
      <c r="H134" s="10"/>
      <c r="I134" s="10"/>
      <c r="J134" s="10"/>
      <c r="K134" s="10"/>
      <c r="L134" s="10"/>
      <c r="M134" s="13">
        <f t="shared" si="2"/>
        <v>0</v>
      </c>
      <c r="N134" s="10"/>
      <c r="O134" s="34"/>
      <c r="P134" s="10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J134" s="13">
        <f t="shared" si="3"/>
        <v>0</v>
      </c>
      <c r="AK134" s="105"/>
    </row>
    <row r="135" spans="1:37">
      <c r="A135" s="9"/>
      <c r="B135" s="10" t="s">
        <v>300</v>
      </c>
      <c r="C135" s="11"/>
      <c r="D135" s="11"/>
      <c r="E135" s="12"/>
      <c r="F135" s="12"/>
      <c r="G135" s="10"/>
      <c r="H135" s="10"/>
      <c r="I135" s="10"/>
      <c r="J135" s="10"/>
      <c r="K135" s="10"/>
      <c r="L135" s="10"/>
      <c r="M135" s="13">
        <f t="shared" si="2"/>
        <v>0</v>
      </c>
      <c r="N135" s="10"/>
      <c r="O135" s="34"/>
      <c r="P135" s="10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0</v>
      </c>
      <c r="AK135" s="105"/>
    </row>
    <row r="136" spans="1:37">
      <c r="A136" s="9"/>
      <c r="B136" s="10" t="s">
        <v>301</v>
      </c>
      <c r="C136" s="11"/>
      <c r="D136" s="11"/>
      <c r="E136" s="12"/>
      <c r="F136" s="12"/>
      <c r="G136" s="10"/>
      <c r="H136" s="10"/>
      <c r="I136" s="10"/>
      <c r="J136" s="10"/>
      <c r="K136" s="10"/>
      <c r="L136" s="10"/>
      <c r="M136" s="13">
        <f t="shared" ref="M136:M199" si="4">I136+J136+K136+L136/1.12</f>
        <v>0</v>
      </c>
      <c r="N136" s="10"/>
      <c r="O136" s="34"/>
      <c r="P136" s="10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0</v>
      </c>
      <c r="AK136" s="105"/>
    </row>
    <row r="137" spans="1:37">
      <c r="A137" s="9"/>
      <c r="B137" s="10" t="s">
        <v>302</v>
      </c>
      <c r="C137" s="11"/>
      <c r="D137" s="11"/>
      <c r="E137" s="12"/>
      <c r="F137" s="12"/>
      <c r="G137" s="10"/>
      <c r="H137" s="10"/>
      <c r="I137" s="10"/>
      <c r="J137" s="10"/>
      <c r="K137" s="10"/>
      <c r="L137" s="10"/>
      <c r="M137" s="13">
        <f t="shared" si="4"/>
        <v>0</v>
      </c>
      <c r="N137" s="10"/>
      <c r="O137" s="34"/>
      <c r="P137" s="10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J137" s="13">
        <f t="shared" si="5"/>
        <v>0</v>
      </c>
      <c r="AK137" s="105"/>
    </row>
    <row r="138" spans="1:37">
      <c r="A138" s="9"/>
      <c r="B138" s="10" t="s">
        <v>303</v>
      </c>
      <c r="C138" s="11"/>
      <c r="D138" s="11"/>
      <c r="E138" s="12"/>
      <c r="F138" s="12"/>
      <c r="G138" s="10"/>
      <c r="H138" s="10"/>
      <c r="I138" s="10"/>
      <c r="J138" s="10"/>
      <c r="K138" s="10"/>
      <c r="L138" s="10"/>
      <c r="M138" s="13">
        <f t="shared" si="4"/>
        <v>0</v>
      </c>
      <c r="N138" s="10"/>
      <c r="O138" s="34"/>
      <c r="P138" s="10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0</v>
      </c>
      <c r="AK138" s="105"/>
    </row>
    <row r="139" spans="1:37">
      <c r="A139" s="9"/>
      <c r="B139" s="10" t="s">
        <v>304</v>
      </c>
      <c r="C139" s="11"/>
      <c r="D139" s="11"/>
      <c r="E139" s="12"/>
      <c r="F139" s="12"/>
      <c r="G139" s="10"/>
      <c r="H139" s="10"/>
      <c r="I139" s="10"/>
      <c r="J139" s="10"/>
      <c r="K139" s="10"/>
      <c r="L139" s="10"/>
      <c r="M139" s="13">
        <f t="shared" si="4"/>
        <v>0</v>
      </c>
      <c r="N139" s="10"/>
      <c r="O139" s="34"/>
      <c r="P139" s="10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0</v>
      </c>
      <c r="AK139" s="105"/>
    </row>
    <row r="140" spans="1:37">
      <c r="A140" s="9"/>
      <c r="B140" s="10" t="s">
        <v>305</v>
      </c>
      <c r="C140" s="11"/>
      <c r="D140" s="11"/>
      <c r="E140" s="12"/>
      <c r="F140" s="12"/>
      <c r="G140" s="10"/>
      <c r="H140" s="10"/>
      <c r="I140" s="10"/>
      <c r="J140" s="10"/>
      <c r="K140" s="10"/>
      <c r="L140" s="10"/>
      <c r="M140" s="13">
        <f t="shared" si="4"/>
        <v>0</v>
      </c>
      <c r="N140" s="10"/>
      <c r="O140" s="34"/>
      <c r="P140" s="10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0</v>
      </c>
      <c r="AK140" s="105"/>
    </row>
    <row r="141" spans="1:37">
      <c r="A141" s="9"/>
      <c r="B141" s="10" t="s">
        <v>306</v>
      </c>
      <c r="C141" s="11"/>
      <c r="D141" s="11"/>
      <c r="E141" s="12"/>
      <c r="F141" s="12"/>
      <c r="G141" s="10"/>
      <c r="H141" s="10"/>
      <c r="I141" s="10"/>
      <c r="J141" s="10"/>
      <c r="K141" s="10"/>
      <c r="L141" s="10"/>
      <c r="M141" s="13">
        <f t="shared" si="4"/>
        <v>0</v>
      </c>
      <c r="N141" s="10"/>
      <c r="O141" s="34"/>
      <c r="P141" s="10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0</v>
      </c>
      <c r="AK141" s="105"/>
    </row>
    <row r="142" spans="1:37">
      <c r="A142" s="9"/>
      <c r="B142" s="10" t="s">
        <v>307</v>
      </c>
      <c r="C142" s="11"/>
      <c r="D142" s="11"/>
      <c r="E142" s="12"/>
      <c r="F142" s="12"/>
      <c r="G142" s="10"/>
      <c r="H142" s="10"/>
      <c r="I142" s="10"/>
      <c r="J142" s="10"/>
      <c r="K142" s="10"/>
      <c r="L142" s="10"/>
      <c r="M142" s="13">
        <f t="shared" si="4"/>
        <v>0</v>
      </c>
      <c r="N142" s="10"/>
      <c r="O142" s="34"/>
      <c r="P142" s="10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0</v>
      </c>
      <c r="AK142" s="105"/>
    </row>
    <row r="143" spans="1:37">
      <c r="A143" s="9"/>
      <c r="B143" s="10" t="s">
        <v>308</v>
      </c>
      <c r="C143" s="11"/>
      <c r="D143" s="11"/>
      <c r="E143" s="12"/>
      <c r="F143" s="12"/>
      <c r="G143" s="10"/>
      <c r="H143" s="10"/>
      <c r="I143" s="10"/>
      <c r="J143" s="10"/>
      <c r="K143" s="10"/>
      <c r="L143" s="10"/>
      <c r="M143" s="13">
        <f t="shared" si="4"/>
        <v>0</v>
      </c>
      <c r="N143" s="10"/>
      <c r="O143" s="34"/>
      <c r="P143" s="10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0</v>
      </c>
      <c r="AK143" s="105"/>
    </row>
    <row r="144" spans="1:37">
      <c r="A144" s="9"/>
      <c r="B144" s="10" t="s">
        <v>309</v>
      </c>
      <c r="C144" s="11"/>
      <c r="D144" s="11"/>
      <c r="E144" s="12"/>
      <c r="F144" s="12"/>
      <c r="G144" s="10"/>
      <c r="H144" s="10"/>
      <c r="I144" s="10"/>
      <c r="J144" s="10"/>
      <c r="K144" s="10"/>
      <c r="L144" s="10"/>
      <c r="M144" s="13">
        <f t="shared" si="4"/>
        <v>0</v>
      </c>
      <c r="N144" s="10"/>
      <c r="O144" s="34"/>
      <c r="P144" s="10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0</v>
      </c>
      <c r="AK144" s="105"/>
    </row>
    <row r="145" spans="1:37">
      <c r="A145" s="9"/>
      <c r="B145" s="10" t="s">
        <v>310</v>
      </c>
      <c r="C145" s="11"/>
      <c r="D145" s="11"/>
      <c r="E145" s="12"/>
      <c r="F145" s="12"/>
      <c r="G145" s="10"/>
      <c r="H145" s="10"/>
      <c r="I145" s="10"/>
      <c r="J145" s="10"/>
      <c r="K145" s="10"/>
      <c r="L145" s="10"/>
      <c r="M145" s="13">
        <f t="shared" si="4"/>
        <v>0</v>
      </c>
      <c r="N145" s="10"/>
      <c r="O145" s="34"/>
      <c r="P145" s="10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0</v>
      </c>
      <c r="AK145" s="105"/>
    </row>
    <row r="146" spans="1:37">
      <c r="A146" s="9"/>
      <c r="B146" s="10" t="s">
        <v>311</v>
      </c>
      <c r="C146" s="11"/>
      <c r="D146" s="11"/>
      <c r="E146" s="12"/>
      <c r="F146" s="12"/>
      <c r="G146" s="10"/>
      <c r="H146" s="10"/>
      <c r="I146" s="10"/>
      <c r="J146" s="10"/>
      <c r="K146" s="10"/>
      <c r="L146" s="10"/>
      <c r="M146" s="13">
        <f t="shared" si="4"/>
        <v>0</v>
      </c>
      <c r="N146" s="10"/>
      <c r="O146" s="34"/>
      <c r="P146" s="10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0</v>
      </c>
      <c r="AK146" s="105"/>
    </row>
    <row r="147" spans="1:37">
      <c r="A147" s="9"/>
      <c r="B147" s="10" t="s">
        <v>312</v>
      </c>
      <c r="C147" s="11"/>
      <c r="D147" s="11"/>
      <c r="E147" s="12"/>
      <c r="F147" s="12"/>
      <c r="G147" s="10"/>
      <c r="H147" s="10"/>
      <c r="I147" s="10"/>
      <c r="J147" s="10"/>
      <c r="K147" s="10"/>
      <c r="L147" s="10"/>
      <c r="M147" s="13">
        <f t="shared" si="4"/>
        <v>0</v>
      </c>
      <c r="N147" s="10"/>
      <c r="O147" s="34"/>
      <c r="P147" s="10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0</v>
      </c>
      <c r="AK147" s="105"/>
    </row>
    <row r="148" spans="1:37">
      <c r="A148" s="9"/>
      <c r="B148" s="10" t="s">
        <v>313</v>
      </c>
      <c r="C148" s="11"/>
      <c r="D148" s="11"/>
      <c r="E148" s="12"/>
      <c r="F148" s="12"/>
      <c r="G148" s="10"/>
      <c r="H148" s="10"/>
      <c r="I148" s="10"/>
      <c r="J148" s="10"/>
      <c r="K148" s="10"/>
      <c r="L148" s="10"/>
      <c r="M148" s="13">
        <f t="shared" si="4"/>
        <v>0</v>
      </c>
      <c r="N148" s="10"/>
      <c r="O148" s="34"/>
      <c r="P148" s="10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0</v>
      </c>
      <c r="AK148" s="105"/>
    </row>
    <row r="149" spans="1:37">
      <c r="A149" s="9"/>
      <c r="B149" s="10" t="s">
        <v>314</v>
      </c>
      <c r="C149" s="11"/>
      <c r="D149" s="11"/>
      <c r="E149" s="12"/>
      <c r="F149" s="12"/>
      <c r="G149" s="10"/>
      <c r="H149" s="10"/>
      <c r="I149" s="10"/>
      <c r="J149" s="10"/>
      <c r="K149" s="10"/>
      <c r="L149" s="10"/>
      <c r="M149" s="13">
        <f t="shared" si="4"/>
        <v>0</v>
      </c>
      <c r="N149" s="10"/>
      <c r="O149" s="34"/>
      <c r="P149" s="10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J149" s="13">
        <f t="shared" si="5"/>
        <v>0</v>
      </c>
      <c r="AK149" s="105"/>
    </row>
    <row r="150" spans="1:37">
      <c r="A150" s="9"/>
      <c r="B150" s="10" t="s">
        <v>315</v>
      </c>
      <c r="C150" s="11"/>
      <c r="D150" s="11"/>
      <c r="E150" s="12"/>
      <c r="F150" s="12"/>
      <c r="G150" s="10"/>
      <c r="H150" s="10"/>
      <c r="I150" s="10"/>
      <c r="J150" s="10"/>
      <c r="K150" s="10"/>
      <c r="L150" s="10"/>
      <c r="M150" s="13">
        <f t="shared" si="4"/>
        <v>0</v>
      </c>
      <c r="N150" s="10"/>
      <c r="O150" s="34"/>
      <c r="P150" s="10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0</v>
      </c>
      <c r="AK150" s="105"/>
    </row>
    <row r="151" spans="1:37">
      <c r="A151" s="9"/>
      <c r="B151" s="10" t="s">
        <v>316</v>
      </c>
      <c r="C151" s="11"/>
      <c r="D151" s="11"/>
      <c r="E151" s="12"/>
      <c r="F151" s="12"/>
      <c r="G151" s="10"/>
      <c r="H151" s="10"/>
      <c r="I151" s="10"/>
      <c r="J151" s="10"/>
      <c r="K151" s="10"/>
      <c r="L151" s="10"/>
      <c r="M151" s="13">
        <f t="shared" si="4"/>
        <v>0</v>
      </c>
      <c r="N151" s="10"/>
      <c r="O151" s="34"/>
      <c r="P151" s="10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0</v>
      </c>
      <c r="AK151" s="105"/>
    </row>
    <row r="152" spans="1:37">
      <c r="A152" s="9"/>
      <c r="B152" s="10" t="s">
        <v>317</v>
      </c>
      <c r="C152" s="11"/>
      <c r="D152" s="11"/>
      <c r="E152" s="12"/>
      <c r="F152" s="12"/>
      <c r="G152" s="10"/>
      <c r="H152" s="10"/>
      <c r="I152" s="10"/>
      <c r="J152" s="10"/>
      <c r="K152" s="10"/>
      <c r="L152" s="10"/>
      <c r="M152" s="13">
        <f t="shared" si="4"/>
        <v>0</v>
      </c>
      <c r="N152" s="10"/>
      <c r="O152" s="34"/>
      <c r="P152" s="10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0</v>
      </c>
      <c r="AK152" s="105"/>
    </row>
    <row r="153" spans="1:37">
      <c r="A153" s="9"/>
      <c r="B153" s="10" t="s">
        <v>318</v>
      </c>
      <c r="C153" s="11"/>
      <c r="D153" s="11"/>
      <c r="E153" s="12"/>
      <c r="F153" s="12"/>
      <c r="G153" s="10"/>
      <c r="H153" s="10"/>
      <c r="I153" s="10"/>
      <c r="J153" s="10"/>
      <c r="K153" s="10"/>
      <c r="L153" s="10"/>
      <c r="M153" s="13">
        <f t="shared" si="4"/>
        <v>0</v>
      </c>
      <c r="N153" s="10"/>
      <c r="O153" s="34"/>
      <c r="P153" s="10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0</v>
      </c>
      <c r="AK153" s="105"/>
    </row>
    <row r="154" spans="1:37">
      <c r="A154" s="9"/>
      <c r="B154" s="10" t="s">
        <v>319</v>
      </c>
      <c r="C154" s="11"/>
      <c r="D154" s="11"/>
      <c r="E154" s="12"/>
      <c r="F154" s="12"/>
      <c r="G154" s="10"/>
      <c r="H154" s="10"/>
      <c r="I154" s="10"/>
      <c r="J154" s="10"/>
      <c r="K154" s="10"/>
      <c r="L154" s="10"/>
      <c r="M154" s="13">
        <f t="shared" si="4"/>
        <v>0</v>
      </c>
      <c r="N154" s="10"/>
      <c r="O154" s="34"/>
      <c r="P154" s="10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J154" s="13">
        <f t="shared" si="5"/>
        <v>0</v>
      </c>
      <c r="AK154" s="105"/>
    </row>
    <row r="155" spans="1:37">
      <c r="A155" s="9"/>
      <c r="B155" s="10" t="s">
        <v>320</v>
      </c>
      <c r="C155" s="11"/>
      <c r="D155" s="11"/>
      <c r="E155" s="12"/>
      <c r="F155" s="12"/>
      <c r="G155" s="10"/>
      <c r="H155" s="10"/>
      <c r="I155" s="10"/>
      <c r="J155" s="10"/>
      <c r="K155" s="10"/>
      <c r="L155" s="10"/>
      <c r="M155" s="13">
        <f t="shared" si="4"/>
        <v>0</v>
      </c>
      <c r="N155" s="10"/>
      <c r="O155" s="34"/>
      <c r="P155" s="10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0</v>
      </c>
      <c r="AK155" s="105"/>
    </row>
    <row r="156" spans="1:37">
      <c r="A156" s="9"/>
      <c r="B156" s="10" t="s">
        <v>321</v>
      </c>
      <c r="C156" s="11"/>
      <c r="D156" s="11"/>
      <c r="E156" s="12"/>
      <c r="F156" s="12"/>
      <c r="G156" s="10"/>
      <c r="H156" s="10"/>
      <c r="I156" s="10"/>
      <c r="J156" s="10"/>
      <c r="K156" s="10"/>
      <c r="L156" s="10"/>
      <c r="M156" s="13">
        <f t="shared" si="4"/>
        <v>0</v>
      </c>
      <c r="N156" s="10"/>
      <c r="O156" s="34"/>
      <c r="P156" s="10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J156" s="13">
        <f t="shared" si="5"/>
        <v>0</v>
      </c>
      <c r="AK156" s="105"/>
    </row>
    <row r="157" spans="1:37">
      <c r="A157" s="9"/>
      <c r="B157" s="10" t="s">
        <v>322</v>
      </c>
      <c r="C157" s="11"/>
      <c r="D157" s="11"/>
      <c r="E157" s="12"/>
      <c r="F157" s="12"/>
      <c r="G157" s="10"/>
      <c r="H157" s="10"/>
      <c r="I157" s="10"/>
      <c r="J157" s="10"/>
      <c r="K157" s="10"/>
      <c r="L157" s="10"/>
      <c r="M157" s="13">
        <f t="shared" si="4"/>
        <v>0</v>
      </c>
      <c r="N157" s="10"/>
      <c r="O157" s="34"/>
      <c r="P157" s="10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J157" s="13">
        <f t="shared" si="5"/>
        <v>0</v>
      </c>
      <c r="AK157" s="105"/>
    </row>
    <row r="158" spans="1:37">
      <c r="A158" s="9"/>
      <c r="B158" s="10" t="s">
        <v>323</v>
      </c>
      <c r="C158" s="11"/>
      <c r="D158" s="11"/>
      <c r="E158" s="12"/>
      <c r="F158" s="12"/>
      <c r="G158" s="10"/>
      <c r="H158" s="10"/>
      <c r="I158" s="10"/>
      <c r="J158" s="10"/>
      <c r="K158" s="10"/>
      <c r="L158" s="10"/>
      <c r="M158" s="13">
        <f t="shared" si="4"/>
        <v>0</v>
      </c>
      <c r="N158" s="10"/>
      <c r="O158" s="34"/>
      <c r="P158" s="10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0</v>
      </c>
      <c r="AK158" s="105"/>
    </row>
    <row r="159" spans="1:37">
      <c r="A159" s="9"/>
      <c r="B159" s="10" t="s">
        <v>324</v>
      </c>
      <c r="C159" s="11"/>
      <c r="D159" s="11"/>
      <c r="E159" s="12"/>
      <c r="F159" s="12"/>
      <c r="G159" s="10"/>
      <c r="H159" s="10"/>
      <c r="I159" s="10"/>
      <c r="J159" s="10"/>
      <c r="K159" s="10"/>
      <c r="L159" s="10"/>
      <c r="M159" s="13">
        <f t="shared" si="4"/>
        <v>0</v>
      </c>
      <c r="N159" s="10"/>
      <c r="O159" s="34"/>
      <c r="P159" s="10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0</v>
      </c>
      <c r="AK159" s="105"/>
    </row>
    <row r="160" spans="1:37">
      <c r="A160" s="9"/>
      <c r="B160" s="10" t="s">
        <v>325</v>
      </c>
      <c r="C160" s="11"/>
      <c r="D160" s="11"/>
      <c r="E160" s="12"/>
      <c r="F160" s="12"/>
      <c r="G160" s="10"/>
      <c r="H160" s="10"/>
      <c r="I160" s="10"/>
      <c r="J160" s="10"/>
      <c r="K160" s="10"/>
      <c r="L160" s="10"/>
      <c r="M160" s="13">
        <f t="shared" si="4"/>
        <v>0</v>
      </c>
      <c r="N160" s="10"/>
      <c r="O160" s="34"/>
      <c r="P160" s="10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0</v>
      </c>
      <c r="AK160" s="105"/>
    </row>
    <row r="161" spans="1:37">
      <c r="A161" s="9"/>
      <c r="B161" s="10" t="s">
        <v>326</v>
      </c>
      <c r="C161" s="11"/>
      <c r="D161" s="11"/>
      <c r="E161" s="12"/>
      <c r="F161" s="12"/>
      <c r="G161" s="10"/>
      <c r="H161" s="10"/>
      <c r="I161" s="10"/>
      <c r="J161" s="10"/>
      <c r="K161" s="10"/>
      <c r="L161" s="10"/>
      <c r="M161" s="13">
        <f t="shared" si="4"/>
        <v>0</v>
      </c>
      <c r="N161" s="10"/>
      <c r="O161" s="34"/>
      <c r="P161" s="10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0</v>
      </c>
      <c r="AK161" s="105"/>
    </row>
    <row r="162" spans="1:37">
      <c r="A162" s="9"/>
      <c r="B162" s="10" t="s">
        <v>327</v>
      </c>
      <c r="C162" s="11"/>
      <c r="D162" s="11"/>
      <c r="E162" s="12"/>
      <c r="F162" s="12"/>
      <c r="G162" s="10"/>
      <c r="H162" s="10"/>
      <c r="I162" s="10"/>
      <c r="J162" s="10"/>
      <c r="K162" s="10"/>
      <c r="L162" s="10"/>
      <c r="M162" s="13">
        <f t="shared" si="4"/>
        <v>0</v>
      </c>
      <c r="N162" s="10"/>
      <c r="O162" s="34"/>
      <c r="P162" s="10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0</v>
      </c>
      <c r="AK162" s="105"/>
    </row>
    <row r="163" spans="1:37">
      <c r="A163" s="9"/>
      <c r="B163" s="10" t="s">
        <v>328</v>
      </c>
      <c r="C163" s="11"/>
      <c r="D163" s="11"/>
      <c r="E163" s="12"/>
      <c r="F163" s="12"/>
      <c r="G163" s="10"/>
      <c r="H163" s="10"/>
      <c r="I163" s="10"/>
      <c r="J163" s="10"/>
      <c r="K163" s="10"/>
      <c r="L163" s="10"/>
      <c r="M163" s="13">
        <f t="shared" si="4"/>
        <v>0</v>
      </c>
      <c r="N163" s="10"/>
      <c r="O163" s="34"/>
      <c r="P163" s="10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J163" s="13">
        <f t="shared" si="5"/>
        <v>0</v>
      </c>
      <c r="AK163" s="105"/>
    </row>
    <row r="164" spans="1:37">
      <c r="A164" s="9"/>
      <c r="B164" s="10" t="s">
        <v>329</v>
      </c>
      <c r="C164" s="11"/>
      <c r="D164" s="11"/>
      <c r="E164" s="12"/>
      <c r="F164" s="12"/>
      <c r="G164" s="10"/>
      <c r="H164" s="10"/>
      <c r="I164" s="10"/>
      <c r="J164" s="10"/>
      <c r="K164" s="10"/>
      <c r="L164" s="10"/>
      <c r="M164" s="13">
        <f t="shared" si="4"/>
        <v>0</v>
      </c>
      <c r="N164" s="10"/>
      <c r="O164" s="34"/>
      <c r="P164" s="10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0</v>
      </c>
      <c r="AK164" s="105"/>
    </row>
    <row r="165" spans="1:37">
      <c r="A165" s="9"/>
      <c r="B165" s="10" t="s">
        <v>330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  <c r="AK165" s="105"/>
    </row>
    <row r="166" spans="1:37">
      <c r="A166" s="9"/>
      <c r="B166" s="10" t="s">
        <v>331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  <c r="AK166" s="105"/>
    </row>
    <row r="167" spans="1:37">
      <c r="A167" s="9"/>
      <c r="B167" s="10" t="s">
        <v>332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  <c r="AK167" s="105"/>
    </row>
    <row r="168" spans="1:37">
      <c r="A168" s="9"/>
      <c r="B168" s="10" t="s">
        <v>333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  <c r="AK168" s="105"/>
    </row>
    <row r="169" spans="1:37">
      <c r="A169" s="9"/>
      <c r="B169" s="10" t="s">
        <v>334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  <c r="AK169" s="105"/>
    </row>
    <row r="170" spans="1:37">
      <c r="A170" s="9"/>
      <c r="B170" s="10" t="s">
        <v>335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  <c r="AK170" s="105"/>
    </row>
    <row r="171" spans="1:37">
      <c r="A171" s="9"/>
      <c r="B171" s="10" t="s">
        <v>336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  <c r="AK171" s="105"/>
    </row>
    <row r="172" spans="1:37">
      <c r="A172" s="9"/>
      <c r="B172" s="10" t="s">
        <v>337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  <c r="AK172" s="105"/>
    </row>
    <row r="173" spans="1:37">
      <c r="A173" s="9"/>
      <c r="B173" s="10" t="s">
        <v>338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  <c r="AK173" s="105"/>
    </row>
    <row r="174" spans="1:37">
      <c r="A174" s="9"/>
      <c r="B174" s="10" t="s">
        <v>339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  <c r="AK174" s="105"/>
    </row>
    <row r="175" spans="1:37">
      <c r="A175" s="9"/>
      <c r="B175" s="10" t="s">
        <v>340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  <c r="AK175" s="105"/>
    </row>
    <row r="176" spans="1:37">
      <c r="A176" s="9"/>
      <c r="B176" s="10" t="s">
        <v>341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  <c r="AK176" s="105"/>
    </row>
    <row r="177" spans="1:37">
      <c r="A177" s="9"/>
      <c r="B177" s="10" t="s">
        <v>342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  <c r="AK177" s="105"/>
    </row>
    <row r="178" spans="1:37">
      <c r="A178" s="9"/>
      <c r="B178" s="10" t="s">
        <v>343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  <c r="AK178" s="105"/>
    </row>
    <row r="179" spans="1:37">
      <c r="A179" s="9"/>
      <c r="B179" s="10" t="s">
        <v>344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  <c r="AK179" s="105"/>
    </row>
    <row r="180" spans="1:37">
      <c r="A180" s="9"/>
      <c r="B180" s="10" t="s">
        <v>345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  <c r="AK180" s="105"/>
    </row>
    <row r="181" spans="1:37">
      <c r="A181" s="9"/>
      <c r="B181" s="10" t="s">
        <v>346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  <c r="AK181" s="105"/>
    </row>
    <row r="182" spans="1:37">
      <c r="A182" s="9"/>
      <c r="B182" s="10" t="s">
        <v>347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  <c r="AK182" s="105"/>
    </row>
    <row r="183" spans="1:37">
      <c r="A183" s="9"/>
      <c r="B183" s="10" t="s">
        <v>348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  <c r="AK183" s="105"/>
    </row>
    <row r="184" spans="1:37">
      <c r="A184" s="9"/>
      <c r="B184" s="10" t="s">
        <v>349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  <c r="AK184" s="105"/>
    </row>
    <row r="185" spans="1:37">
      <c r="A185" s="9"/>
      <c r="B185" s="10" t="s">
        <v>350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  <c r="AK185" s="105"/>
    </row>
    <row r="186" spans="1:37">
      <c r="A186" s="9"/>
      <c r="B186" s="10" t="s">
        <v>351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  <c r="AK186" s="105"/>
    </row>
    <row r="187" spans="1:37">
      <c r="A187" s="9"/>
      <c r="B187" s="10" t="s">
        <v>352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  <c r="AK187" s="105"/>
    </row>
    <row r="188" spans="1:37">
      <c r="A188" s="9"/>
      <c r="B188" s="10" t="s">
        <v>353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  <c r="AK188" s="105"/>
    </row>
    <row r="189" spans="1:37">
      <c r="A189" s="9"/>
      <c r="B189" s="10" t="s">
        <v>354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  <c r="AK189" s="105"/>
    </row>
    <row r="190" spans="1:37">
      <c r="A190" s="9"/>
      <c r="B190" s="10" t="s">
        <v>355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  <c r="AK190" s="105"/>
    </row>
    <row r="191" spans="1:37">
      <c r="A191" s="9"/>
      <c r="B191" s="10" t="s">
        <v>356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  <c r="AK191" s="105"/>
    </row>
    <row r="192" spans="1:37">
      <c r="A192" s="9"/>
      <c r="B192" s="10" t="s">
        <v>357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  <c r="AK192" s="105"/>
    </row>
    <row r="193" spans="1:37">
      <c r="A193" s="9"/>
      <c r="B193" s="10" t="s">
        <v>358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  <c r="AK193" s="105"/>
    </row>
    <row r="194" spans="1:37">
      <c r="A194" s="9"/>
      <c r="B194" s="10" t="s">
        <v>359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  <c r="AK194" s="105"/>
    </row>
    <row r="195" spans="1:37">
      <c r="A195" s="9"/>
      <c r="B195" s="10" t="s">
        <v>360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  <c r="AK195" s="105"/>
    </row>
    <row r="196" spans="1:37">
      <c r="A196" s="9"/>
      <c r="B196" s="10" t="s">
        <v>361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  <c r="AK196" s="105"/>
    </row>
    <row r="197" spans="1:37">
      <c r="A197" s="9"/>
      <c r="B197" s="10" t="s">
        <v>362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  <c r="AK197" s="105"/>
    </row>
    <row r="198" spans="1:37">
      <c r="A198" s="9"/>
      <c r="B198" s="10" t="s">
        <v>363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  <c r="AK198" s="105"/>
    </row>
    <row r="199" spans="1:37">
      <c r="A199" s="9"/>
      <c r="B199" s="10" t="s">
        <v>364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  <c r="AK199" s="105"/>
    </row>
    <row r="200" spans="1:37">
      <c r="A200" s="9"/>
      <c r="B200" s="10" t="s">
        <v>365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  <c r="AK200" s="105"/>
    </row>
    <row r="201" spans="1:37">
      <c r="A201" s="9"/>
      <c r="B201" s="10" t="s">
        <v>366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  <c r="AK201" s="105"/>
    </row>
    <row r="202" spans="1:37">
      <c r="A202" s="9"/>
      <c r="B202" s="10" t="s">
        <v>367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  <c r="AK202" s="105"/>
    </row>
    <row r="203" spans="1:37">
      <c r="A203" s="9"/>
      <c r="B203" s="10" t="s">
        <v>368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  <c r="AK203" s="105"/>
    </row>
    <row r="204" spans="1:37">
      <c r="A204" s="9"/>
      <c r="B204" s="10" t="s">
        <v>369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  <c r="AK204" s="105"/>
    </row>
    <row r="205" spans="1:37">
      <c r="A205" s="9"/>
      <c r="B205" s="10" t="s">
        <v>370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  <c r="AK205" s="105"/>
    </row>
    <row r="206" spans="1:37">
      <c r="A206" s="9"/>
      <c r="B206" s="10" t="s">
        <v>371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  <c r="AK206" s="105"/>
    </row>
    <row r="207" spans="1:37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7" ht="10.8" thickBot="1">
      <c r="A208" s="23" t="s">
        <v>9</v>
      </c>
      <c r="B208" s="23"/>
      <c r="C208" s="24"/>
      <c r="D208" s="24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35"/>
      <c r="P208" s="23"/>
      <c r="Q208" s="25">
        <f t="shared" ref="Q208:AH208" si="8">SUM(Q7:Q207)</f>
        <v>2874.1296428571445</v>
      </c>
      <c r="R208" s="25">
        <f t="shared" si="8"/>
        <v>-62.125</v>
      </c>
      <c r="S208" s="25">
        <f t="shared" si="8"/>
        <v>32618.21</v>
      </c>
      <c r="T208" s="25">
        <f t="shared" si="8"/>
        <v>4025.9899999999993</v>
      </c>
      <c r="U208" s="25">
        <f t="shared" si="8"/>
        <v>321.88</v>
      </c>
      <c r="V208" s="25">
        <f t="shared" si="8"/>
        <v>517.86</v>
      </c>
      <c r="W208" s="25">
        <f t="shared" si="8"/>
        <v>804.92000000000007</v>
      </c>
      <c r="X208" s="25">
        <f t="shared" si="8"/>
        <v>0</v>
      </c>
      <c r="Y208" s="25">
        <f t="shared" si="8"/>
        <v>0</v>
      </c>
      <c r="Z208" s="25">
        <f t="shared" si="8"/>
        <v>0</v>
      </c>
      <c r="AA208" s="25">
        <f t="shared" si="8"/>
        <v>178.13</v>
      </c>
      <c r="AB208" s="25">
        <f t="shared" si="8"/>
        <v>1397.1</v>
      </c>
      <c r="AC208" s="25">
        <f t="shared" si="8"/>
        <v>202.91000000000003</v>
      </c>
      <c r="AD208" s="25">
        <f t="shared" si="8"/>
        <v>1770</v>
      </c>
      <c r="AE208" s="25">
        <f t="shared" si="8"/>
        <v>4768</v>
      </c>
      <c r="AF208" s="25">
        <f t="shared" si="8"/>
        <v>0</v>
      </c>
      <c r="AG208" s="25">
        <f t="shared" si="8"/>
        <v>2344.31</v>
      </c>
      <c r="AH208" s="25">
        <f t="shared" si="8"/>
        <v>0</v>
      </c>
      <c r="AJ208" s="25">
        <f>SUM(AJ7:AJ207)</f>
        <v>-51761.314642857127</v>
      </c>
    </row>
    <row r="209" spans="36:36" ht="10.8" thickTop="1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45"/>
  <sheetViews>
    <sheetView workbookViewId="0">
      <pane xSplit="1" ySplit="6" topLeftCell="B21" activePane="bottomRight" state="frozen"/>
      <selection pane="topRight" activeCell="B1" sqref="B1"/>
      <selection pane="bottomLeft" activeCell="A7" sqref="A7"/>
      <selection pane="bottomRight" activeCell="M110" sqref="M110"/>
    </sheetView>
  </sheetViews>
  <sheetFormatPr defaultRowHeight="10.199999999999999"/>
  <cols>
    <col min="1" max="1" width="10.5546875" style="2" customWidth="1"/>
    <col min="2" max="2" width="8.88671875" style="2" customWidth="1"/>
    <col min="3" max="3" width="4.77734375" style="2" customWidth="1"/>
    <col min="4" max="4" width="36.6640625" style="2" bestFit="1" customWidth="1"/>
    <col min="5" max="5" width="19.5546875" style="2" customWidth="1"/>
    <col min="6" max="6" width="0.5546875" style="2" customWidth="1"/>
    <col min="7" max="8" width="13" style="2" customWidth="1"/>
    <col min="9" max="16384" width="8.88671875" style="2"/>
  </cols>
  <sheetData>
    <row r="1" spans="1:8">
      <c r="A1" s="1" t="s">
        <v>0</v>
      </c>
    </row>
    <row r="2" spans="1:8">
      <c r="A2" s="1" t="s">
        <v>1</v>
      </c>
    </row>
    <row r="3" spans="1:8">
      <c r="A3" s="1" t="s">
        <v>176</v>
      </c>
    </row>
    <row r="5" spans="1:8" s="6" customFormat="1" ht="14.4" customHeight="1">
      <c r="A5" s="3"/>
      <c r="B5" s="3"/>
      <c r="C5" s="147" t="s">
        <v>13</v>
      </c>
      <c r="D5" s="148"/>
      <c r="E5" s="151" t="s">
        <v>180</v>
      </c>
      <c r="F5" s="3"/>
      <c r="G5" s="145" t="s">
        <v>178</v>
      </c>
      <c r="H5" s="145" t="s">
        <v>179</v>
      </c>
    </row>
    <row r="6" spans="1:8">
      <c r="A6" s="76" t="s">
        <v>3</v>
      </c>
      <c r="B6" s="76" t="s">
        <v>177</v>
      </c>
      <c r="C6" s="149"/>
      <c r="D6" s="150"/>
      <c r="E6" s="152"/>
      <c r="F6" s="76"/>
      <c r="G6" s="146"/>
      <c r="H6" s="146"/>
    </row>
    <row r="7" spans="1:8">
      <c r="A7" s="17"/>
      <c r="B7" s="14"/>
      <c r="C7" s="80"/>
      <c r="D7" s="81"/>
      <c r="E7" s="81"/>
      <c r="F7" s="14"/>
      <c r="G7" s="16"/>
      <c r="H7" s="16"/>
    </row>
    <row r="8" spans="1:8">
      <c r="A8" s="17">
        <v>43322</v>
      </c>
      <c r="B8" s="14" t="s">
        <v>462</v>
      </c>
      <c r="C8" s="80">
        <v>6101</v>
      </c>
      <c r="D8" s="81" t="str">
        <f>INDEX(WTB!A:B,MATCH(C8,WTB!A:A,),2)</f>
        <v>Salaries and Wages</v>
      </c>
      <c r="E8" s="81" t="s">
        <v>181</v>
      </c>
      <c r="F8" s="14"/>
      <c r="G8" s="142">
        <v>49429</v>
      </c>
      <c r="H8" s="16"/>
    </row>
    <row r="9" spans="1:8">
      <c r="A9" s="17"/>
      <c r="B9" s="14"/>
      <c r="C9" s="80">
        <v>6101</v>
      </c>
      <c r="D9" s="81" t="str">
        <f>INDEX(WTB!A:B,MATCH(C9,WTB!A:A,),2)</f>
        <v>Salaries and Wages</v>
      </c>
      <c r="E9" s="81" t="s">
        <v>182</v>
      </c>
      <c r="F9" s="14"/>
      <c r="G9" s="142">
        <v>890</v>
      </c>
      <c r="H9" s="16"/>
    </row>
    <row r="10" spans="1:8">
      <c r="A10" s="17"/>
      <c r="B10" s="14"/>
      <c r="C10" s="80">
        <v>6102</v>
      </c>
      <c r="D10" s="81" t="str">
        <f>INDEX(WTB!A:B,MATCH(C10,WTB!A:A,),2)</f>
        <v>Allowances</v>
      </c>
      <c r="E10" s="81" t="s">
        <v>183</v>
      </c>
      <c r="F10" s="14"/>
      <c r="G10" s="142">
        <v>50</v>
      </c>
      <c r="H10" s="16"/>
    </row>
    <row r="11" spans="1:8">
      <c r="A11" s="17"/>
      <c r="B11" s="14"/>
      <c r="C11" s="80">
        <v>6103</v>
      </c>
      <c r="D11" s="81" t="str">
        <f>INDEX(WTB!A:B,MATCH(C11,WTB!A:A,),2)</f>
        <v>Overtime Pay</v>
      </c>
      <c r="E11" s="81" t="s">
        <v>188</v>
      </c>
      <c r="F11" s="14"/>
      <c r="G11" s="142">
        <v>156.875</v>
      </c>
      <c r="H11" s="16"/>
    </row>
    <row r="12" spans="1:8">
      <c r="A12" s="17"/>
      <c r="B12" s="14"/>
      <c r="C12" s="80">
        <v>6104</v>
      </c>
      <c r="D12" s="81" t="str">
        <f>INDEX(WTB!A:B,MATCH(C12,WTB!A:A,),2)</f>
        <v>Holiday Pay</v>
      </c>
      <c r="E12" s="81" t="s">
        <v>189</v>
      </c>
      <c r="F12" s="14"/>
      <c r="G12" s="142"/>
      <c r="H12" s="16"/>
    </row>
    <row r="13" spans="1:8">
      <c r="A13" s="17"/>
      <c r="B13" s="14"/>
      <c r="C13" s="80">
        <v>6104</v>
      </c>
      <c r="D13" s="81" t="str">
        <f>INDEX(WTB!A:B,MATCH(C13,WTB!A:A,),2)</f>
        <v>Holiday Pay</v>
      </c>
      <c r="E13" s="81" t="s">
        <v>190</v>
      </c>
      <c r="F13" s="14"/>
      <c r="G13" s="142"/>
      <c r="H13" s="16"/>
    </row>
    <row r="14" spans="1:8">
      <c r="A14" s="17"/>
      <c r="B14" s="14"/>
      <c r="C14" s="80">
        <v>6103</v>
      </c>
      <c r="D14" s="81" t="str">
        <f>INDEX(WTB!A:B,MATCH(C14,WTB!A:A,),2)</f>
        <v>Overtime Pay</v>
      </c>
      <c r="E14" s="81" t="s">
        <v>191</v>
      </c>
      <c r="F14" s="14"/>
      <c r="G14" s="142">
        <v>250.18942307692311</v>
      </c>
      <c r="H14" s="16"/>
    </row>
    <row r="15" spans="1:8">
      <c r="A15" s="17"/>
      <c r="B15" s="14"/>
      <c r="C15" s="80">
        <v>6101</v>
      </c>
      <c r="D15" s="81" t="str">
        <f>INDEX(WTB!A:B,MATCH(C15,WTB!A:A,),2)</f>
        <v>Salaries and Wages</v>
      </c>
      <c r="E15" s="81" t="s">
        <v>382</v>
      </c>
      <c r="F15" s="14"/>
      <c r="G15" s="16"/>
      <c r="H15" s="142">
        <v>502</v>
      </c>
    </row>
    <row r="16" spans="1:8">
      <c r="A16" s="17"/>
      <c r="B16" s="14"/>
      <c r="C16" s="80">
        <v>6101</v>
      </c>
      <c r="D16" s="81" t="str">
        <f>INDEX(WTB!A:B,MATCH(C16,WTB!A:A,),2)</f>
        <v>Salaries and Wages</v>
      </c>
      <c r="E16" s="81" t="s">
        <v>202</v>
      </c>
      <c r="F16" s="14"/>
      <c r="G16" s="16"/>
      <c r="H16" s="142">
        <v>818.38253205128194</v>
      </c>
    </row>
    <row r="17" spans="1:12">
      <c r="A17" s="17"/>
      <c r="B17" s="14"/>
      <c r="C17" s="80">
        <v>6101</v>
      </c>
      <c r="D17" s="81" t="str">
        <f>INDEX(WTB!A:B,MATCH(C17,WTB!A:A,),2)</f>
        <v>Salaries and Wages</v>
      </c>
      <c r="E17" s="81" t="s">
        <v>384</v>
      </c>
      <c r="F17" s="14"/>
      <c r="G17" s="16"/>
      <c r="H17" s="142">
        <v>38.9</v>
      </c>
    </row>
    <row r="18" spans="1:12">
      <c r="A18" s="17"/>
      <c r="B18" s="14"/>
      <c r="C18" s="80">
        <v>2302</v>
      </c>
      <c r="D18" s="81" t="str">
        <f>INDEX(WTB!A:B,MATCH(C18,WTB!A:A,),2)</f>
        <v>SSS Loan Payable</v>
      </c>
      <c r="E18" s="81"/>
      <c r="F18" s="14"/>
      <c r="G18" s="16"/>
      <c r="H18" s="142">
        <v>3361.1099999999997</v>
      </c>
    </row>
    <row r="19" spans="1:12">
      <c r="A19" s="17"/>
      <c r="B19" s="14"/>
      <c r="C19" s="80">
        <v>2304</v>
      </c>
      <c r="D19" s="81" t="str">
        <f>INDEX(WTB!A:B,MATCH(C19,WTB!A:A,),2)</f>
        <v>HDMF Premium Payable</v>
      </c>
      <c r="E19" s="81"/>
      <c r="F19" s="14"/>
      <c r="G19" s="16"/>
      <c r="H19" s="142">
        <v>700</v>
      </c>
    </row>
    <row r="20" spans="1:12">
      <c r="A20" s="17"/>
      <c r="B20" s="14"/>
      <c r="C20" s="80">
        <v>2305</v>
      </c>
      <c r="D20" s="81" t="str">
        <f>INDEX(WTB!A:B,MATCH(C20,WTB!A:A,),2)</f>
        <v>HDMF Loan Payable</v>
      </c>
      <c r="E20" s="81"/>
      <c r="F20" s="14"/>
      <c r="G20" s="16"/>
      <c r="H20" s="142">
        <v>4444.83</v>
      </c>
    </row>
    <row r="21" spans="1:12">
      <c r="A21" s="18"/>
      <c r="B21" s="19"/>
      <c r="C21" s="82">
        <v>6102</v>
      </c>
      <c r="D21" s="83" t="str">
        <f>INDEX(WTB!A:B,MATCH(C21,WTB!A:A,),2)</f>
        <v>Allowances</v>
      </c>
      <c r="E21" s="83"/>
      <c r="F21" s="19"/>
      <c r="G21" s="143">
        <v>3818</v>
      </c>
      <c r="H21" s="21"/>
    </row>
    <row r="22" spans="1:12">
      <c r="A22" s="18"/>
      <c r="B22" s="19"/>
      <c r="C22" s="82">
        <v>1250</v>
      </c>
      <c r="D22" s="83" t="str">
        <f>INDEX(WTB!A:B,MATCH(C22,WTB!A:A,),2)</f>
        <v>Advances to Employees</v>
      </c>
      <c r="E22" s="83"/>
      <c r="F22" s="19"/>
      <c r="G22" s="21"/>
      <c r="H22" s="144">
        <v>350.1</v>
      </c>
    </row>
    <row r="23" spans="1:12">
      <c r="A23" s="18"/>
      <c r="B23" s="19"/>
      <c r="C23" s="82">
        <v>1250</v>
      </c>
      <c r="D23" s="83" t="str">
        <f>INDEX(WTB!A:B,MATCH(C23,WTB!A:A,),2)</f>
        <v>Advances to Employees</v>
      </c>
      <c r="E23" s="83" t="s">
        <v>199</v>
      </c>
      <c r="F23" s="19"/>
      <c r="G23" s="21"/>
      <c r="H23" s="143">
        <v>350.1</v>
      </c>
    </row>
    <row r="24" spans="1:12">
      <c r="A24" s="18"/>
      <c r="B24" s="19"/>
      <c r="C24" s="82">
        <v>2306</v>
      </c>
      <c r="D24" s="83" t="str">
        <f>INDEX(WTB!A:B,MATCH(C24,WTB!A:A,),2)</f>
        <v>Employee Bank Loan</v>
      </c>
      <c r="E24" s="83"/>
      <c r="F24" s="19"/>
      <c r="G24" s="21"/>
      <c r="H24" s="143">
        <v>3138.7250000000004</v>
      </c>
    </row>
    <row r="25" spans="1:12" ht="10.8" thickBot="1">
      <c r="A25" s="18"/>
      <c r="B25" s="19"/>
      <c r="C25" s="82">
        <v>2300</v>
      </c>
      <c r="D25" s="83" t="str">
        <f>INDEX(WTB!A:B,MATCH(C25,WTB!A:A,),2)</f>
        <v>Salaries Payable</v>
      </c>
      <c r="E25" s="83"/>
      <c r="F25" s="19"/>
      <c r="G25" s="21"/>
      <c r="H25" s="143">
        <v>40889.916891025641</v>
      </c>
    </row>
    <row r="26" spans="1:12">
      <c r="A26" s="86"/>
      <c r="B26" s="87"/>
      <c r="C26" s="94"/>
      <c r="D26" s="95" t="s">
        <v>378</v>
      </c>
      <c r="E26" s="87"/>
      <c r="F26" s="87"/>
      <c r="G26" s="88"/>
      <c r="H26" s="89"/>
    </row>
    <row r="27" spans="1:12" ht="10.8" thickBot="1">
      <c r="A27" s="90"/>
      <c r="B27" s="91"/>
      <c r="C27" s="96"/>
      <c r="D27" s="97"/>
      <c r="E27" s="91"/>
      <c r="F27" s="91"/>
      <c r="G27" s="92">
        <f>SUM(G7:G26)</f>
        <v>54594.064423076925</v>
      </c>
      <c r="H27" s="93">
        <f>SUM(H7:H26)</f>
        <v>54594.064423076925</v>
      </c>
      <c r="I27" s="105"/>
      <c r="L27" s="105">
        <f>+G27-H27</f>
        <v>0</v>
      </c>
    </row>
    <row r="28" spans="1:12">
      <c r="A28" s="9"/>
      <c r="B28" s="10"/>
      <c r="C28" s="85"/>
      <c r="D28" s="12"/>
      <c r="E28" s="12"/>
      <c r="F28" s="10"/>
      <c r="G28" s="13"/>
      <c r="H28" s="13"/>
    </row>
    <row r="29" spans="1:12">
      <c r="A29" s="17">
        <v>43337</v>
      </c>
      <c r="B29" s="14" t="s">
        <v>463</v>
      </c>
      <c r="C29" s="80">
        <v>6101</v>
      </c>
      <c r="D29" s="81" t="str">
        <f>INDEX(WTB!A:B,MATCH(C29,WTB!A:A,),2)</f>
        <v>Salaries and Wages</v>
      </c>
      <c r="E29" s="81" t="s">
        <v>181</v>
      </c>
      <c r="F29" s="14"/>
      <c r="G29" s="142">
        <v>47923</v>
      </c>
      <c r="H29" s="16"/>
    </row>
    <row r="30" spans="1:12">
      <c r="A30" s="17"/>
      <c r="B30" s="14"/>
      <c r="C30" s="80">
        <v>6101</v>
      </c>
      <c r="D30" s="81" t="str">
        <f>INDEX(WTB!A:B,MATCH(C30,WTB!A:A,),2)</f>
        <v>Salaries and Wages</v>
      </c>
      <c r="E30" s="81" t="s">
        <v>182</v>
      </c>
      <c r="F30" s="14"/>
      <c r="G30" s="142">
        <v>880</v>
      </c>
      <c r="H30" s="16"/>
    </row>
    <row r="31" spans="1:12">
      <c r="A31" s="17"/>
      <c r="B31" s="14"/>
      <c r="C31" s="80">
        <v>6102</v>
      </c>
      <c r="D31" s="81" t="str">
        <f>INDEX(WTB!A:B,MATCH(C31,WTB!A:A,),2)</f>
        <v>Allowances</v>
      </c>
      <c r="E31" s="81" t="s">
        <v>183</v>
      </c>
      <c r="F31" s="14"/>
      <c r="G31" s="142">
        <v>50</v>
      </c>
      <c r="H31" s="16"/>
    </row>
    <row r="32" spans="1:12">
      <c r="A32" s="17"/>
      <c r="B32" s="14"/>
      <c r="C32" s="80">
        <v>6103</v>
      </c>
      <c r="D32" s="81" t="str">
        <f>INDEX(WTB!A:B,MATCH(C32,WTB!A:A,),2)</f>
        <v>Overtime Pay</v>
      </c>
      <c r="E32" s="81" t="s">
        <v>188</v>
      </c>
      <c r="F32" s="14"/>
      <c r="G32" s="142">
        <v>392.1875</v>
      </c>
      <c r="H32" s="16"/>
    </row>
    <row r="33" spans="1:8">
      <c r="A33" s="17"/>
      <c r="B33" s="14"/>
      <c r="C33" s="80">
        <v>6104</v>
      </c>
      <c r="D33" s="81" t="str">
        <f>INDEX(WTB!A:B,MATCH(C33,WTB!A:A,),2)</f>
        <v>Holiday Pay</v>
      </c>
      <c r="E33" s="81" t="s">
        <v>189</v>
      </c>
      <c r="F33" s="14"/>
      <c r="G33" s="142"/>
      <c r="H33" s="16"/>
    </row>
    <row r="34" spans="1:8">
      <c r="A34" s="17"/>
      <c r="B34" s="14"/>
      <c r="C34" s="80">
        <v>6103</v>
      </c>
      <c r="D34" s="81" t="str">
        <f>INDEX(WTB!A:B,MATCH(C34,WTB!A:A,),2)</f>
        <v>Overtime Pay</v>
      </c>
      <c r="E34" s="81" t="s">
        <v>191</v>
      </c>
      <c r="F34" s="14"/>
      <c r="G34" s="142">
        <v>225.08942307692311</v>
      </c>
      <c r="H34" s="16"/>
    </row>
    <row r="35" spans="1:8">
      <c r="A35" s="17"/>
      <c r="B35" s="14"/>
      <c r="C35" s="80">
        <v>6101</v>
      </c>
      <c r="D35" s="81" t="str">
        <f>INDEX(WTB!A:B,MATCH(C35,WTB!A:A,),2)</f>
        <v>Salaries and Wages</v>
      </c>
      <c r="E35" s="81" t="s">
        <v>383</v>
      </c>
      <c r="F35" s="14"/>
      <c r="G35" s="16"/>
      <c r="H35" s="142"/>
    </row>
    <row r="36" spans="1:8">
      <c r="A36" s="17"/>
      <c r="B36" s="14"/>
      <c r="C36" s="80">
        <v>6101</v>
      </c>
      <c r="D36" s="81" t="str">
        <f>INDEX(WTB!A:B,MATCH(C36,WTB!A:A,),2)</f>
        <v>Salaries and Wages</v>
      </c>
      <c r="E36" s="81" t="s">
        <v>202</v>
      </c>
      <c r="F36" s="14"/>
      <c r="G36" s="16"/>
      <c r="H36" s="142">
        <v>378.87221153846156</v>
      </c>
    </row>
    <row r="37" spans="1:8">
      <c r="A37" s="17"/>
      <c r="B37" s="14"/>
      <c r="C37" s="80">
        <v>6101</v>
      </c>
      <c r="D37" s="81" t="str">
        <f>INDEX(WTB!A:B,MATCH(C37,WTB!A:A,),2)</f>
        <v>Salaries and Wages</v>
      </c>
      <c r="E37" s="81" t="s">
        <v>384</v>
      </c>
      <c r="F37" s="14"/>
      <c r="G37" s="16"/>
      <c r="H37" s="142">
        <v>6.28</v>
      </c>
    </row>
    <row r="38" spans="1:8">
      <c r="A38" s="17"/>
      <c r="B38" s="14"/>
      <c r="C38" s="80">
        <v>2301</v>
      </c>
      <c r="D38" s="81" t="str">
        <f>INDEX(WTB!A:B,MATCH(C38,WTB!A:A,),2)</f>
        <v>SSS Premium Payable</v>
      </c>
      <c r="E38" s="81"/>
      <c r="F38" s="14"/>
      <c r="G38" s="16"/>
      <c r="H38" s="142">
        <v>3360.8</v>
      </c>
    </row>
    <row r="39" spans="1:8">
      <c r="A39" s="17"/>
      <c r="B39" s="14"/>
      <c r="C39" s="80">
        <v>2302</v>
      </c>
      <c r="D39" s="81" t="str">
        <f>INDEX(WTB!A:B,MATCH(C39,WTB!A:A,),2)</f>
        <v>SSS Loan Payable</v>
      </c>
      <c r="E39" s="81"/>
      <c r="F39" s="14"/>
      <c r="G39" s="16"/>
      <c r="H39" s="142">
        <v>3284.0099999999998</v>
      </c>
    </row>
    <row r="40" spans="1:8">
      <c r="A40" s="17"/>
      <c r="B40" s="14"/>
      <c r="C40" s="80">
        <v>2303</v>
      </c>
      <c r="D40" s="81" t="str">
        <f>INDEX(WTB!A:B,MATCH(C40,WTB!A:A,),2)</f>
        <v>PHIC Premium Payable</v>
      </c>
      <c r="E40" s="81"/>
      <c r="F40" s="14"/>
      <c r="G40" s="16"/>
      <c r="H40" s="142">
        <v>1345</v>
      </c>
    </row>
    <row r="41" spans="1:8">
      <c r="A41" s="17"/>
      <c r="B41" s="14"/>
      <c r="C41" s="80">
        <v>2305</v>
      </c>
      <c r="D41" s="81" t="str">
        <f>INDEX(WTB!A:B,MATCH(C41,WTB!A:A,),2)</f>
        <v>HDMF Loan Payable</v>
      </c>
      <c r="E41" s="81"/>
      <c r="F41" s="14"/>
      <c r="G41" s="16"/>
      <c r="H41" s="142">
        <v>1579.04</v>
      </c>
    </row>
    <row r="42" spans="1:8">
      <c r="A42" s="18"/>
      <c r="B42" s="19"/>
      <c r="C42" s="82">
        <v>6102</v>
      </c>
      <c r="D42" s="83" t="str">
        <f>INDEX(WTB!A:B,MATCH(C42,WTB!A:A,),2)</f>
        <v>Allowances</v>
      </c>
      <c r="E42" s="83"/>
      <c r="F42" s="19"/>
      <c r="G42" s="143">
        <v>3818</v>
      </c>
      <c r="H42" s="21"/>
    </row>
    <row r="43" spans="1:8">
      <c r="A43" s="18"/>
      <c r="B43" s="19"/>
      <c r="C43" s="82">
        <v>1250</v>
      </c>
      <c r="D43" s="83" t="str">
        <f>INDEX(WTB!A:B,MATCH(C43,WTB!A:A,),2)</f>
        <v>Advances to Employees</v>
      </c>
      <c r="E43" s="83" t="s">
        <v>372</v>
      </c>
      <c r="F43" s="19"/>
      <c r="G43" s="21"/>
      <c r="H43" s="143">
        <v>500</v>
      </c>
    </row>
    <row r="44" spans="1:8">
      <c r="A44" s="18"/>
      <c r="B44" s="19"/>
      <c r="C44" s="82">
        <v>2306</v>
      </c>
      <c r="D44" s="83" t="str">
        <f>INDEX(WTB!A:B,MATCH(C44,WTB!A:A,),2)</f>
        <v>Employee Bank Loan</v>
      </c>
      <c r="E44" s="83"/>
      <c r="F44" s="19"/>
      <c r="G44" s="21"/>
      <c r="H44" s="143">
        <v>3138.7250000000004</v>
      </c>
    </row>
    <row r="45" spans="1:8" ht="10.8" thickBot="1">
      <c r="A45" s="18"/>
      <c r="B45" s="19"/>
      <c r="C45" s="82">
        <v>2300</v>
      </c>
      <c r="D45" s="83" t="str">
        <f>INDEX(WTB!A:B,MATCH(C45,WTB!A:A,),2)</f>
        <v>Salaries Payable</v>
      </c>
      <c r="E45" s="83"/>
      <c r="F45" s="19"/>
      <c r="G45" s="21"/>
      <c r="H45" s="143">
        <v>39695.549711538464</v>
      </c>
    </row>
    <row r="46" spans="1:8">
      <c r="A46" s="86"/>
      <c r="B46" s="87"/>
      <c r="C46" s="94"/>
      <c r="D46" s="95" t="s">
        <v>379</v>
      </c>
      <c r="E46" s="87"/>
      <c r="F46" s="87"/>
      <c r="G46" s="88"/>
      <c r="H46" s="89"/>
    </row>
    <row r="47" spans="1:8" ht="10.8" thickBot="1">
      <c r="A47" s="90"/>
      <c r="B47" s="91"/>
      <c r="C47" s="96"/>
      <c r="D47" s="97"/>
      <c r="E47" s="91"/>
      <c r="F47" s="91"/>
      <c r="G47" s="92">
        <f>SUM(G28:G46)</f>
        <v>53288.276923076926</v>
      </c>
      <c r="H47" s="93">
        <f>SUM(H28:H46)</f>
        <v>53288.276923076926</v>
      </c>
    </row>
    <row r="48" spans="1:8">
      <c r="A48" s="17"/>
      <c r="B48" s="14"/>
      <c r="C48" s="80"/>
      <c r="D48" s="81"/>
      <c r="E48" s="81"/>
      <c r="F48" s="14"/>
      <c r="G48" s="16"/>
      <c r="H48" s="16"/>
    </row>
    <row r="49" spans="1:8">
      <c r="A49" s="17">
        <v>43343</v>
      </c>
      <c r="B49" s="14" t="s">
        <v>464</v>
      </c>
      <c r="C49" s="80">
        <v>6106</v>
      </c>
      <c r="D49" s="81" t="str">
        <f>INDEX(WTB!A:B,MATCH(C49,WTB!A:A,),2)</f>
        <v>SSS Premium Expense</v>
      </c>
      <c r="E49" s="81"/>
      <c r="F49" s="14"/>
      <c r="G49" s="142">
        <v>6904.2</v>
      </c>
      <c r="H49" s="16"/>
    </row>
    <row r="50" spans="1:8">
      <c r="A50" s="17"/>
      <c r="B50" s="14"/>
      <c r="C50" s="80">
        <v>6107</v>
      </c>
      <c r="D50" s="81" t="str">
        <f>INDEX(WTB!A:B,MATCH(C50,WTB!A:A,),2)</f>
        <v>PHIC Premium Expense</v>
      </c>
      <c r="E50" s="81"/>
      <c r="F50" s="14"/>
      <c r="G50" s="142">
        <v>1345</v>
      </c>
      <c r="H50" s="16"/>
    </row>
    <row r="51" spans="1:8">
      <c r="A51" s="17"/>
      <c r="B51" s="14"/>
      <c r="C51" s="80">
        <v>6108</v>
      </c>
      <c r="D51" s="81" t="str">
        <f>INDEX(WTB!A:B,MATCH(C51,WTB!A:A,),2)</f>
        <v>HDMF Premium Expense</v>
      </c>
      <c r="E51" s="81"/>
      <c r="F51" s="14"/>
      <c r="G51" s="142">
        <v>700</v>
      </c>
      <c r="H51" s="16"/>
    </row>
    <row r="52" spans="1:8">
      <c r="A52" s="17"/>
      <c r="B52" s="14"/>
      <c r="C52" s="80">
        <v>2301</v>
      </c>
      <c r="D52" s="81" t="str">
        <f>INDEX(WTB!A:B,MATCH(C52,WTB!A:A,),2)</f>
        <v>SSS Premium Payable</v>
      </c>
      <c r="E52" s="81"/>
      <c r="F52" s="14"/>
      <c r="G52" s="16"/>
      <c r="H52" s="16">
        <f>+G49</f>
        <v>6904.2</v>
      </c>
    </row>
    <row r="53" spans="1:8">
      <c r="A53" s="17"/>
      <c r="B53" s="14"/>
      <c r="C53" s="80">
        <v>2303</v>
      </c>
      <c r="D53" s="81" t="str">
        <f>INDEX(WTB!A:B,MATCH(C53,WTB!A:A,),2)</f>
        <v>PHIC Premium Payable</v>
      </c>
      <c r="E53" s="81"/>
      <c r="F53" s="14"/>
      <c r="G53" s="16"/>
      <c r="H53" s="16">
        <f>+G50</f>
        <v>1345</v>
      </c>
    </row>
    <row r="54" spans="1:8" ht="10.8" thickBot="1">
      <c r="A54" s="17"/>
      <c r="B54" s="14"/>
      <c r="C54" s="80">
        <v>2304</v>
      </c>
      <c r="D54" s="81" t="str">
        <f>INDEX(WTB!A:B,MATCH(C54,WTB!A:A,),2)</f>
        <v>HDMF Premium Payable</v>
      </c>
      <c r="E54" s="81"/>
      <c r="F54" s="14"/>
      <c r="G54" s="16"/>
      <c r="H54" s="16">
        <f>+G51</f>
        <v>700</v>
      </c>
    </row>
    <row r="55" spans="1:8">
      <c r="A55" s="86"/>
      <c r="B55" s="87"/>
      <c r="C55" s="94"/>
      <c r="D55" s="95" t="s">
        <v>377</v>
      </c>
      <c r="E55" s="87"/>
      <c r="F55" s="87"/>
      <c r="G55" s="88"/>
      <c r="H55" s="89"/>
    </row>
    <row r="56" spans="1:8" ht="10.8" thickBot="1">
      <c r="A56" s="90"/>
      <c r="B56" s="91"/>
      <c r="C56" s="96"/>
      <c r="D56" s="97"/>
      <c r="E56" s="91"/>
      <c r="F56" s="91"/>
      <c r="G56" s="92">
        <f>SUM(G49:G55)</f>
        <v>8949.2000000000007</v>
      </c>
      <c r="H56" s="93">
        <f>SUM(H49:H55)</f>
        <v>8949.2000000000007</v>
      </c>
    </row>
    <row r="57" spans="1:8">
      <c r="A57" s="17"/>
      <c r="B57" s="14"/>
      <c r="C57" s="80"/>
      <c r="D57" s="81"/>
      <c r="E57" s="81"/>
      <c r="F57" s="14"/>
      <c r="G57" s="16"/>
      <c r="H57" s="16"/>
    </row>
    <row r="58" spans="1:8">
      <c r="A58" s="17">
        <v>43343</v>
      </c>
      <c r="B58" s="14" t="s">
        <v>465</v>
      </c>
      <c r="C58" s="80">
        <v>6901</v>
      </c>
      <c r="D58" s="81" t="str">
        <f>INDEX(WTB!A:B,MATCH(C58,WTB!A:A,),2)</f>
        <v>Loss on Spoilages</v>
      </c>
      <c r="E58" s="81"/>
      <c r="F58" s="14"/>
      <c r="G58" s="16">
        <f>+H59+H60</f>
        <v>4781.0058499999996</v>
      </c>
      <c r="H58" s="16"/>
    </row>
    <row r="59" spans="1:8">
      <c r="A59" s="17"/>
      <c r="B59" s="14"/>
      <c r="C59" s="80" t="s">
        <v>203</v>
      </c>
      <c r="D59" s="81" t="str">
        <f>INDEX(WTB!A:B,MATCH(C59,WTB!A:A,),2)</f>
        <v>Food Spoilages</v>
      </c>
      <c r="E59" s="81"/>
      <c r="F59" s="14"/>
      <c r="G59" s="16"/>
      <c r="H59" s="142">
        <v>4007.2508499999994</v>
      </c>
    </row>
    <row r="60" spans="1:8" ht="10.8" thickBot="1">
      <c r="A60" s="17"/>
      <c r="B60" s="14"/>
      <c r="C60" s="80" t="s">
        <v>204</v>
      </c>
      <c r="D60" s="81" t="str">
        <f>INDEX(WTB!A:B,MATCH(C60,WTB!A:A,),2)</f>
        <v>Beverage Spoilages</v>
      </c>
      <c r="E60" s="81"/>
      <c r="F60" s="14"/>
      <c r="G60" s="16"/>
      <c r="H60" s="142">
        <v>773.755</v>
      </c>
    </row>
    <row r="61" spans="1:8">
      <c r="A61" s="86"/>
      <c r="B61" s="87"/>
      <c r="C61" s="94"/>
      <c r="D61" s="95" t="s">
        <v>376</v>
      </c>
      <c r="E61" s="87"/>
      <c r="F61" s="87"/>
      <c r="G61" s="88"/>
      <c r="H61" s="89"/>
    </row>
    <row r="62" spans="1:8" ht="10.8" thickBot="1">
      <c r="A62" s="90"/>
      <c r="B62" s="91"/>
      <c r="C62" s="96"/>
      <c r="D62" s="97"/>
      <c r="E62" s="91"/>
      <c r="F62" s="91"/>
      <c r="G62" s="92">
        <f>SUM(G58:G61)</f>
        <v>4781.0058499999996</v>
      </c>
      <c r="H62" s="93">
        <f>SUM(H58:H61)</f>
        <v>4781.0058499999996</v>
      </c>
    </row>
    <row r="63" spans="1:8">
      <c r="A63" s="17"/>
      <c r="B63" s="14"/>
      <c r="C63" s="80"/>
      <c r="D63" s="81"/>
      <c r="E63" s="81"/>
      <c r="F63" s="14"/>
      <c r="G63" s="16"/>
      <c r="H63" s="16"/>
    </row>
    <row r="64" spans="1:8">
      <c r="A64" s="17">
        <v>43327</v>
      </c>
      <c r="B64" s="14" t="s">
        <v>466</v>
      </c>
      <c r="C64" s="80">
        <v>2402</v>
      </c>
      <c r="D64" s="81" t="str">
        <f>INDEX(WTB!A:B,MATCH(C64,WTB!A:A,),2)</f>
        <v>Provision for Loss</v>
      </c>
      <c r="E64" s="81"/>
      <c r="F64" s="14"/>
      <c r="G64" s="142"/>
      <c r="H64" s="16"/>
    </row>
    <row r="65" spans="1:8" ht="10.8" thickBot="1">
      <c r="A65" s="17"/>
      <c r="B65" s="14"/>
      <c r="C65" s="80">
        <v>2401</v>
      </c>
      <c r="D65" s="81" t="str">
        <f>INDEX(WTB!A:B,MATCH(C65,WTB!A:A,),2)</f>
        <v>Service Charge Payable</v>
      </c>
      <c r="E65" s="81"/>
      <c r="F65" s="14"/>
      <c r="G65" s="16"/>
      <c r="H65" s="16">
        <f>+G64</f>
        <v>0</v>
      </c>
    </row>
    <row r="66" spans="1:8">
      <c r="A66" s="86"/>
      <c r="B66" s="87"/>
      <c r="C66" s="94"/>
      <c r="D66" s="95" t="s">
        <v>380</v>
      </c>
      <c r="E66" s="87"/>
      <c r="F66" s="87"/>
      <c r="G66" s="88"/>
      <c r="H66" s="89"/>
    </row>
    <row r="67" spans="1:8" ht="10.8" thickBot="1">
      <c r="A67" s="90"/>
      <c r="B67" s="91"/>
      <c r="C67" s="96"/>
      <c r="D67" s="97"/>
      <c r="E67" s="91"/>
      <c r="F67" s="91"/>
      <c r="G67" s="92">
        <f>SUM(G64:G66)</f>
        <v>0</v>
      </c>
      <c r="H67" s="93">
        <f>SUM(H64:H66)</f>
        <v>0</v>
      </c>
    </row>
    <row r="68" spans="1:8">
      <c r="A68" s="17"/>
      <c r="B68" s="14"/>
      <c r="C68" s="80"/>
      <c r="D68" s="81"/>
      <c r="E68" s="81"/>
      <c r="F68" s="14"/>
      <c r="G68" s="16"/>
      <c r="H68" s="16"/>
    </row>
    <row r="69" spans="1:8">
      <c r="A69" s="17">
        <v>43343</v>
      </c>
      <c r="B69" s="14" t="s">
        <v>467</v>
      </c>
      <c r="C69" s="80">
        <v>2402</v>
      </c>
      <c r="D69" s="81" t="str">
        <f>INDEX(WTB!A:B,MATCH(C69,WTB!A:A,),2)</f>
        <v>Provision for Loss</v>
      </c>
      <c r="E69" s="81"/>
      <c r="F69" s="14"/>
      <c r="G69" s="142"/>
      <c r="H69" s="16"/>
    </row>
    <row r="70" spans="1:8" ht="10.8" thickBot="1">
      <c r="A70" s="17"/>
      <c r="B70" s="14"/>
      <c r="C70" s="80">
        <v>2401</v>
      </c>
      <c r="D70" s="81" t="str">
        <f>INDEX(WTB!A:B,MATCH(C70,WTB!A:A,),2)</f>
        <v>Service Charge Payable</v>
      </c>
      <c r="E70" s="81"/>
      <c r="F70" s="14"/>
      <c r="G70" s="16"/>
      <c r="H70" s="103">
        <f>G69</f>
        <v>0</v>
      </c>
    </row>
    <row r="71" spans="1:8">
      <c r="A71" s="86"/>
      <c r="B71" s="87"/>
      <c r="C71" s="94"/>
      <c r="D71" s="95" t="s">
        <v>381</v>
      </c>
      <c r="E71" s="87"/>
      <c r="F71" s="87"/>
      <c r="G71" s="88"/>
      <c r="H71" s="89"/>
    </row>
    <row r="72" spans="1:8" ht="10.8" thickBot="1">
      <c r="A72" s="90"/>
      <c r="B72" s="91"/>
      <c r="C72" s="96"/>
      <c r="D72" s="97"/>
      <c r="E72" s="91"/>
      <c r="F72" s="91"/>
      <c r="G72" s="92">
        <f>SUM(G69:G71)</f>
        <v>0</v>
      </c>
      <c r="H72" s="93">
        <f>SUM(H69:H71)</f>
        <v>0</v>
      </c>
    </row>
    <row r="73" spans="1:8">
      <c r="A73" s="17"/>
      <c r="B73" s="14"/>
      <c r="C73" s="80"/>
      <c r="D73" s="81"/>
      <c r="E73" s="81"/>
      <c r="F73" s="14"/>
      <c r="G73" s="16"/>
      <c r="H73" s="16"/>
    </row>
    <row r="74" spans="1:8">
      <c r="A74" s="17">
        <v>43343</v>
      </c>
      <c r="B74" s="14" t="s">
        <v>468</v>
      </c>
      <c r="C74" s="80">
        <v>2204</v>
      </c>
      <c r="D74" s="81" t="str">
        <f>INDEX(WTB!A:B,MATCH(C74,WTB!A:A,),2)</f>
        <v>Output Tax</v>
      </c>
      <c r="E74" s="81"/>
      <c r="F74" s="14"/>
      <c r="G74" s="142"/>
      <c r="H74" s="16"/>
    </row>
    <row r="75" spans="1:8">
      <c r="A75" s="17"/>
      <c r="B75" s="14"/>
      <c r="C75" s="80">
        <v>1501</v>
      </c>
      <c r="D75" s="81" t="str">
        <f>INDEX(WTB!A:B,MATCH(C75,WTB!A:A,),2)</f>
        <v>Input Tax</v>
      </c>
      <c r="E75" s="81"/>
      <c r="F75" s="14"/>
      <c r="G75" s="16"/>
      <c r="H75" s="142"/>
    </row>
    <row r="76" spans="1:8" ht="10.8" thickBot="1">
      <c r="A76" s="17"/>
      <c r="B76" s="14"/>
      <c r="C76" s="80">
        <v>2205</v>
      </c>
      <c r="D76" s="81" t="str">
        <f>INDEX(WTB!A:B,MATCH(C76,WTB!A:A,),2)</f>
        <v>VAT Payable</v>
      </c>
      <c r="E76" s="81"/>
      <c r="F76" s="14"/>
      <c r="G76" s="16"/>
      <c r="H76" s="142"/>
    </row>
    <row r="77" spans="1:8">
      <c r="A77" s="86"/>
      <c r="B77" s="87"/>
      <c r="C77" s="94"/>
      <c r="D77" s="95" t="s">
        <v>375</v>
      </c>
      <c r="E77" s="87"/>
      <c r="F77" s="87"/>
      <c r="G77" s="88"/>
      <c r="H77" s="89"/>
    </row>
    <row r="78" spans="1:8" ht="10.8" thickBot="1">
      <c r="A78" s="90"/>
      <c r="B78" s="91"/>
      <c r="C78" s="96"/>
      <c r="D78" s="97"/>
      <c r="E78" s="91"/>
      <c r="F78" s="91"/>
      <c r="G78" s="92">
        <f>SUM(G74:G77)</f>
        <v>0</v>
      </c>
      <c r="H78" s="93">
        <f>SUM(H74:H77)</f>
        <v>0</v>
      </c>
    </row>
    <row r="79" spans="1:8">
      <c r="A79" s="17"/>
      <c r="B79" s="14"/>
      <c r="C79" s="80"/>
      <c r="D79" s="81"/>
      <c r="E79" s="81"/>
      <c r="F79" s="14"/>
      <c r="G79" s="16"/>
      <c r="H79" s="16"/>
    </row>
    <row r="80" spans="1:8">
      <c r="A80" s="17">
        <v>43343</v>
      </c>
      <c r="B80" s="14" t="s">
        <v>469</v>
      </c>
      <c r="C80" s="80">
        <v>1250</v>
      </c>
      <c r="D80" s="81" t="str">
        <f>INDEX(WTB!A:B,MATCH(C80,WTB!A:A,),2)</f>
        <v>Advances to Employees</v>
      </c>
      <c r="E80" s="81"/>
      <c r="F80" s="14"/>
      <c r="G80" s="142"/>
      <c r="H80" s="16"/>
    </row>
    <row r="81" spans="1:8">
      <c r="A81" s="17"/>
      <c r="B81" s="14"/>
      <c r="C81" s="80">
        <v>6317</v>
      </c>
      <c r="D81" s="81" t="str">
        <f>INDEX(WTB!A:B,MATCH(C81,WTB!A:A,),2)</f>
        <v>Marketing Expense</v>
      </c>
      <c r="E81" s="81"/>
      <c r="F81" s="14"/>
      <c r="G81" s="142"/>
      <c r="H81" s="16"/>
    </row>
    <row r="82" spans="1:8" ht="10.8" thickBot="1">
      <c r="A82" s="17"/>
      <c r="B82" s="14"/>
      <c r="C82" s="80">
        <v>4999</v>
      </c>
      <c r="D82" s="81" t="str">
        <f>INDEX(WTB!A:B,MATCH(C82,WTB!A:A,),2)</f>
        <v>Other Income</v>
      </c>
      <c r="E82" s="81"/>
      <c r="F82" s="14"/>
      <c r="G82" s="16"/>
      <c r="H82" s="16">
        <f>+G80+G81</f>
        <v>0</v>
      </c>
    </row>
    <row r="83" spans="1:8">
      <c r="A83" s="86"/>
      <c r="B83" s="87"/>
      <c r="C83" s="94"/>
      <c r="D83" s="95" t="s">
        <v>264</v>
      </c>
      <c r="E83" s="87"/>
      <c r="F83" s="87"/>
      <c r="G83" s="88"/>
      <c r="H83" s="89"/>
    </row>
    <row r="84" spans="1:8" ht="10.8" thickBot="1">
      <c r="A84" s="90"/>
      <c r="B84" s="91"/>
      <c r="C84" s="96"/>
      <c r="D84" s="97"/>
      <c r="E84" s="91"/>
      <c r="F84" s="91"/>
      <c r="G84" s="92">
        <f>SUM(G80:G83)</f>
        <v>0</v>
      </c>
      <c r="H84" s="93">
        <f>SUM(H80:H83)</f>
        <v>0</v>
      </c>
    </row>
    <row r="85" spans="1:8">
      <c r="A85" s="17"/>
      <c r="B85" s="14"/>
      <c r="C85" s="80"/>
      <c r="D85" s="81"/>
      <c r="E85" s="81"/>
      <c r="F85" s="14"/>
      <c r="G85" s="16"/>
      <c r="H85" s="16"/>
    </row>
    <row r="86" spans="1:8">
      <c r="A86" s="17">
        <v>43343</v>
      </c>
      <c r="B86" s="14" t="s">
        <v>470</v>
      </c>
      <c r="C86" s="80">
        <v>6200</v>
      </c>
      <c r="D86" s="81" t="str">
        <f>INDEX(WTB!A:B,MATCH(C86,WTB!A:A,),2)</f>
        <v>Officer Charge Expense</v>
      </c>
      <c r="E86" s="81"/>
      <c r="F86" s="14"/>
      <c r="G86" s="142">
        <f>10100*0.3</f>
        <v>3030</v>
      </c>
      <c r="H86" s="16"/>
    </row>
    <row r="87" spans="1:8">
      <c r="A87" s="17"/>
      <c r="B87" s="14"/>
      <c r="C87" s="80">
        <v>6317</v>
      </c>
      <c r="D87" s="81" t="str">
        <f>INDEX(WTB!A:B,MATCH(C87,WTB!A:A,),2)</f>
        <v>Marketing Expense</v>
      </c>
      <c r="E87" s="81"/>
      <c r="F87" s="14"/>
      <c r="G87" s="142">
        <f>2410*0.3</f>
        <v>723</v>
      </c>
      <c r="H87" s="16"/>
    </row>
    <row r="88" spans="1:8" ht="10.8" thickBot="1">
      <c r="A88" s="17"/>
      <c r="B88" s="14"/>
      <c r="C88" s="80">
        <v>5003</v>
      </c>
      <c r="D88" s="81" t="str">
        <f>INDEX(WTB!A:B,MATCH(C88,WTB!A:A,),2)</f>
        <v>OC and Marketing Adjustment</v>
      </c>
      <c r="E88" s="81"/>
      <c r="F88" s="14"/>
      <c r="G88" s="16"/>
      <c r="H88" s="16">
        <f>+G86+G87</f>
        <v>3753</v>
      </c>
    </row>
    <row r="89" spans="1:8">
      <c r="A89" s="86"/>
      <c r="B89" s="87"/>
      <c r="C89" s="94"/>
      <c r="D89" s="95" t="s">
        <v>374</v>
      </c>
      <c r="E89" s="87"/>
      <c r="F89" s="87"/>
      <c r="G89" s="88"/>
      <c r="H89" s="89"/>
    </row>
    <row r="90" spans="1:8" ht="10.8" thickBot="1">
      <c r="A90" s="90"/>
      <c r="B90" s="91"/>
      <c r="C90" s="96"/>
      <c r="D90" s="97"/>
      <c r="E90" s="91"/>
      <c r="F90" s="91"/>
      <c r="G90" s="92">
        <f>SUM(G86:G89)</f>
        <v>3753</v>
      </c>
      <c r="H90" s="93">
        <f>SUM(H86:H89)</f>
        <v>3753</v>
      </c>
    </row>
    <row r="91" spans="1:8">
      <c r="A91" s="140"/>
      <c r="B91" s="19"/>
      <c r="C91" s="82"/>
      <c r="D91" s="83"/>
      <c r="E91" s="83"/>
      <c r="F91" s="19"/>
      <c r="G91" s="21"/>
      <c r="H91" s="141"/>
    </row>
    <row r="92" spans="1:8">
      <c r="A92" s="17">
        <v>43343</v>
      </c>
      <c r="B92" s="14" t="s">
        <v>471</v>
      </c>
      <c r="C92" s="80">
        <v>1250</v>
      </c>
      <c r="D92" s="81" t="str">
        <f>INDEX(WTB!A:B,MATCH(C92,WTB!A:A,),2)</f>
        <v>Advances to Employees</v>
      </c>
      <c r="E92" s="81"/>
      <c r="F92" s="14"/>
      <c r="G92" s="142">
        <v>138.6</v>
      </c>
      <c r="H92" s="16"/>
    </row>
    <row r="93" spans="1:8">
      <c r="A93" s="17"/>
      <c r="B93" s="14"/>
      <c r="C93" s="80">
        <v>5003</v>
      </c>
      <c r="D93" s="81" t="str">
        <f>INDEX(WTB!A:B,MATCH(C93,WTB!A:A,),2)</f>
        <v>OC and Marketing Adjustment</v>
      </c>
      <c r="E93" s="81"/>
      <c r="F93" s="14"/>
      <c r="G93" s="16"/>
      <c r="H93" s="16">
        <f>+G92*0.3</f>
        <v>41.58</v>
      </c>
    </row>
    <row r="94" spans="1:8" ht="10.8" thickBot="1">
      <c r="A94" s="17"/>
      <c r="B94" s="14"/>
      <c r="C94" s="80">
        <v>4999</v>
      </c>
      <c r="D94" s="81" t="str">
        <f>INDEX(WTB!A:B,MATCH(C94,WTB!A:A,),2)</f>
        <v>Other Income</v>
      </c>
      <c r="E94" s="81"/>
      <c r="F94" s="14"/>
      <c r="G94" s="16"/>
      <c r="H94" s="16">
        <f>+G92-H93</f>
        <v>97.02</v>
      </c>
    </row>
    <row r="95" spans="1:8">
      <c r="A95" s="86"/>
      <c r="B95" s="87"/>
      <c r="C95" s="94"/>
      <c r="D95" s="95" t="s">
        <v>264</v>
      </c>
      <c r="E95" s="87"/>
      <c r="F95" s="87"/>
      <c r="G95" s="88"/>
      <c r="H95" s="89"/>
    </row>
    <row r="96" spans="1:8" ht="10.8" thickBot="1">
      <c r="A96" s="90"/>
      <c r="B96" s="91"/>
      <c r="C96" s="96"/>
      <c r="D96" s="97"/>
      <c r="E96" s="91"/>
      <c r="F96" s="91"/>
      <c r="G96" s="92">
        <f>SUM(G92:G95)</f>
        <v>138.6</v>
      </c>
      <c r="H96" s="93">
        <f>SUM(H92:H95)</f>
        <v>138.6</v>
      </c>
    </row>
    <row r="97" spans="1:8">
      <c r="A97" s="17"/>
      <c r="B97" s="14"/>
      <c r="C97" s="80"/>
      <c r="D97" s="81"/>
      <c r="E97" s="81"/>
      <c r="F97" s="14"/>
      <c r="G97" s="16"/>
      <c r="H97" s="16"/>
    </row>
    <row r="98" spans="1:8">
      <c r="A98" s="17">
        <v>43343</v>
      </c>
      <c r="B98" s="14" t="s">
        <v>472</v>
      </c>
      <c r="C98" s="80">
        <v>3004</v>
      </c>
      <c r="D98" s="81" t="str">
        <f>INDEX(WTB!A:B,MATCH(C98,WTB!A:A,),2)</f>
        <v>Income Summary</v>
      </c>
      <c r="E98" s="81"/>
      <c r="F98" s="14"/>
      <c r="G98" s="16">
        <v>80678.736259828889</v>
      </c>
      <c r="H98" s="16"/>
    </row>
    <row r="99" spans="1:8">
      <c r="A99" s="17"/>
      <c r="B99" s="14"/>
      <c r="C99" s="80">
        <v>1401</v>
      </c>
      <c r="D99" s="81" t="str">
        <f>INDEX(WTB!A:B,MATCH(C99,WTB!A:A,),2)</f>
        <v>Inventories</v>
      </c>
      <c r="E99" s="81"/>
      <c r="F99" s="14"/>
      <c r="G99" s="16"/>
      <c r="H99" s="16">
        <f>+G98</f>
        <v>80678.736259828889</v>
      </c>
    </row>
    <row r="100" spans="1:8">
      <c r="A100" s="17"/>
      <c r="B100" s="14"/>
      <c r="C100" s="80"/>
      <c r="D100" s="81"/>
      <c r="E100" s="81"/>
      <c r="F100" s="14"/>
      <c r="G100" s="16"/>
      <c r="H100" s="16"/>
    </row>
    <row r="101" spans="1:8">
      <c r="A101" s="17">
        <v>43343</v>
      </c>
      <c r="B101" s="14" t="s">
        <v>473</v>
      </c>
      <c r="C101" s="80">
        <v>6220</v>
      </c>
      <c r="D101" s="81" t="str">
        <f>INDEX(WTB!A:B,MATCH(C101,WTB!A:A,),2)</f>
        <v>PACKAGING SUPPLIES</v>
      </c>
      <c r="E101" s="81"/>
      <c r="F101" s="14"/>
      <c r="G101" s="103">
        <v>900</v>
      </c>
      <c r="H101" s="16"/>
    </row>
    <row r="102" spans="1:8">
      <c r="A102" s="17"/>
      <c r="B102" s="14"/>
      <c r="C102" s="80">
        <v>6218</v>
      </c>
      <c r="D102" s="81" t="str">
        <f>INDEX(WTB!A:B,MATCH(C102,WTB!A:A,),2)</f>
        <v>DINING SUPPLIES</v>
      </c>
      <c r="E102" s="81"/>
      <c r="F102" s="14"/>
      <c r="G102" s="103">
        <v>458.89</v>
      </c>
      <c r="H102" s="16"/>
    </row>
    <row r="103" spans="1:8">
      <c r="A103" s="17"/>
      <c r="B103" s="14"/>
      <c r="C103" s="80">
        <v>6219</v>
      </c>
      <c r="D103" s="81" t="str">
        <f>INDEX(WTB!A:B,MATCH(C103,WTB!A:A,),2)</f>
        <v>CLEANING SUPPLIES</v>
      </c>
      <c r="E103" s="81"/>
      <c r="F103" s="14"/>
      <c r="G103" s="103">
        <v>668.34</v>
      </c>
      <c r="H103" s="16"/>
    </row>
    <row r="104" spans="1:8">
      <c r="A104" s="17"/>
      <c r="B104" s="14"/>
      <c r="C104" s="80">
        <v>6229</v>
      </c>
      <c r="D104" s="81" t="str">
        <f>INDEX(WTB!A:B,MATCH(C104,WTB!A:A,),2)</f>
        <v>MEDICAL SUPPLIES</v>
      </c>
      <c r="E104" s="81"/>
      <c r="F104" s="14"/>
      <c r="G104" s="103">
        <v>281.45</v>
      </c>
      <c r="H104" s="16"/>
    </row>
    <row r="105" spans="1:8">
      <c r="A105" s="17"/>
      <c r="B105" s="14"/>
      <c r="C105" s="80">
        <v>6212</v>
      </c>
      <c r="D105" s="81" t="str">
        <f>INDEX(WTB!A:B,MATCH(C105,WTB!A:A,),2)</f>
        <v>OFFICE SUPPLIES</v>
      </c>
      <c r="E105" s="81"/>
      <c r="F105" s="14"/>
      <c r="G105" s="103">
        <v>6851.56</v>
      </c>
      <c r="H105" s="16"/>
    </row>
    <row r="106" spans="1:8">
      <c r="A106" s="17"/>
      <c r="B106" s="14"/>
      <c r="C106" s="80">
        <v>1402</v>
      </c>
      <c r="D106" s="81" t="str">
        <f>INDEX(WTB!A:B,MATCH(C106,WTB!A:A,),2)</f>
        <v>Supplies Inventories</v>
      </c>
      <c r="E106" s="81"/>
      <c r="F106" s="14"/>
      <c r="G106" s="16"/>
      <c r="H106" s="16">
        <f>SUM(G101:G105)</f>
        <v>9160.24</v>
      </c>
    </row>
    <row r="107" spans="1:8">
      <c r="A107" s="17"/>
      <c r="B107" s="14"/>
      <c r="C107" s="80"/>
      <c r="D107" s="81"/>
      <c r="E107" s="81"/>
      <c r="F107" s="14"/>
      <c r="G107" s="16"/>
      <c r="H107" s="16"/>
    </row>
    <row r="108" spans="1:8">
      <c r="A108" s="17"/>
      <c r="B108" s="14"/>
      <c r="C108" s="80">
        <v>1401</v>
      </c>
      <c r="D108" s="81" t="str">
        <f>INDEX(WTB!A:B,MATCH(C108,WTB!A:A,),2)</f>
        <v>Inventories</v>
      </c>
      <c r="E108" s="81"/>
      <c r="F108" s="14"/>
      <c r="G108" s="142">
        <v>98025.279365348368</v>
      </c>
      <c r="H108" s="16"/>
    </row>
    <row r="109" spans="1:8">
      <c r="A109" s="17"/>
      <c r="B109" s="14"/>
      <c r="C109" s="80">
        <v>3004</v>
      </c>
      <c r="D109" s="81" t="str">
        <f>INDEX(WTB!A:B,MATCH(C109,WTB!A:A,),2)</f>
        <v>Income Summary</v>
      </c>
      <c r="E109" s="81"/>
      <c r="F109" s="14"/>
      <c r="G109" s="16"/>
      <c r="H109" s="16">
        <f>+G108</f>
        <v>98025.279365348368</v>
      </c>
    </row>
    <row r="110" spans="1:8">
      <c r="A110" s="17"/>
      <c r="B110" s="14"/>
      <c r="C110" s="80"/>
      <c r="D110" s="81"/>
      <c r="E110" s="81"/>
      <c r="F110" s="14"/>
      <c r="G110" s="16"/>
      <c r="H110" s="16"/>
    </row>
    <row r="111" spans="1:8">
      <c r="A111" s="17"/>
      <c r="B111" s="14"/>
      <c r="C111" s="80">
        <v>1402</v>
      </c>
      <c r="D111" s="81" t="str">
        <f>INDEX(WTB!A:B,MATCH(C111,WTB!A:A,),2)</f>
        <v>Supplies Inventories</v>
      </c>
      <c r="E111" s="81"/>
      <c r="F111" s="14"/>
      <c r="G111" s="16">
        <f>SUM(H112:H116)</f>
        <v>11831.720000000001</v>
      </c>
      <c r="H111" s="16"/>
    </row>
    <row r="112" spans="1:8">
      <c r="A112" s="17"/>
      <c r="B112" s="14"/>
      <c r="C112" s="80">
        <v>6220</v>
      </c>
      <c r="D112" s="81" t="str">
        <f>INDEX(WTB!A:B,MATCH(C112,WTB!A:A,),2)</f>
        <v>PACKAGING SUPPLIES</v>
      </c>
      <c r="E112" s="81"/>
      <c r="F112" s="14"/>
      <c r="G112" s="16"/>
      <c r="H112" s="142">
        <f>162.5+1001.11+4802.6</f>
        <v>5966.2100000000009</v>
      </c>
    </row>
    <row r="113" spans="1:8">
      <c r="A113" s="17"/>
      <c r="B113" s="14"/>
      <c r="C113" s="80">
        <v>6218</v>
      </c>
      <c r="D113" s="81" t="str">
        <f>INDEX(WTB!A:B,MATCH(C113,WTB!A:A,),2)</f>
        <v>DINING SUPPLIES</v>
      </c>
      <c r="E113" s="81"/>
      <c r="F113" s="14"/>
      <c r="G113" s="16"/>
      <c r="H113" s="142">
        <v>1932.31</v>
      </c>
    </row>
    <row r="114" spans="1:8">
      <c r="A114" s="17"/>
      <c r="B114" s="14"/>
      <c r="C114" s="80">
        <v>6219</v>
      </c>
      <c r="D114" s="81" t="str">
        <f>INDEX(WTB!A:B,MATCH(C114,WTB!A:A,),2)</f>
        <v>CLEANING SUPPLIES</v>
      </c>
      <c r="E114" s="81"/>
      <c r="F114" s="14"/>
      <c r="G114" s="16"/>
      <c r="H114" s="142">
        <f>255+60</f>
        <v>315</v>
      </c>
    </row>
    <row r="115" spans="1:8">
      <c r="A115" s="17"/>
      <c r="B115" s="14"/>
      <c r="C115" s="80">
        <v>6229</v>
      </c>
      <c r="D115" s="81" t="str">
        <f>INDEX(WTB!A:B,MATCH(C115,WTB!A:A,),2)</f>
        <v>MEDICAL SUPPLIES</v>
      </c>
      <c r="E115" s="81"/>
      <c r="F115" s="14"/>
      <c r="G115" s="16"/>
      <c r="H115" s="142"/>
    </row>
    <row r="116" spans="1:8" ht="10.8" thickBot="1">
      <c r="A116" s="17"/>
      <c r="B116" s="14"/>
      <c r="C116" s="80">
        <v>6212</v>
      </c>
      <c r="D116" s="81" t="str">
        <f>INDEX(WTB!A:B,MATCH(C116,WTB!A:A,),2)</f>
        <v>OFFICE SUPPLIES</v>
      </c>
      <c r="E116" s="81"/>
      <c r="F116" s="14"/>
      <c r="G116" s="16"/>
      <c r="H116" s="142">
        <v>3618.2</v>
      </c>
    </row>
    <row r="117" spans="1:8">
      <c r="A117" s="86"/>
      <c r="B117" s="87"/>
      <c r="C117" s="94"/>
      <c r="D117" s="95" t="s">
        <v>373</v>
      </c>
      <c r="E117" s="87"/>
      <c r="F117" s="87"/>
      <c r="G117" s="88"/>
      <c r="H117" s="89"/>
    </row>
    <row r="118" spans="1:8" ht="10.8" thickBot="1">
      <c r="A118" s="90"/>
      <c r="B118" s="91"/>
      <c r="C118" s="96"/>
      <c r="D118" s="97"/>
      <c r="E118" s="91"/>
      <c r="F118" s="91"/>
      <c r="G118" s="92">
        <f>SUM(G98:G117)</f>
        <v>199695.97562517723</v>
      </c>
      <c r="H118" s="93">
        <f>SUM(H98:H117)</f>
        <v>199695.97562517726</v>
      </c>
    </row>
    <row r="119" spans="1:8">
      <c r="A119" s="17"/>
      <c r="B119" s="14"/>
      <c r="C119" s="80"/>
      <c r="D119" s="81"/>
      <c r="E119" s="81"/>
      <c r="F119" s="14"/>
      <c r="G119" s="16"/>
      <c r="H119" s="16"/>
    </row>
    <row r="120" spans="1:8">
      <c r="A120" s="17"/>
      <c r="B120" s="14"/>
      <c r="C120" s="80"/>
      <c r="D120" s="81"/>
      <c r="E120" s="81"/>
      <c r="F120" s="14"/>
      <c r="G120" s="16"/>
      <c r="H120" s="16"/>
    </row>
    <row r="121" spans="1:8">
      <c r="A121" s="17"/>
      <c r="B121" s="14"/>
      <c r="C121" s="80"/>
      <c r="D121" s="81"/>
      <c r="E121" s="81"/>
      <c r="F121" s="14"/>
      <c r="G121" s="16"/>
      <c r="H121" s="16"/>
    </row>
    <row r="122" spans="1:8">
      <c r="A122" s="17"/>
      <c r="B122" s="14"/>
      <c r="C122" s="80"/>
      <c r="D122" s="81"/>
      <c r="E122" s="81"/>
      <c r="F122" s="14"/>
      <c r="G122" s="16"/>
      <c r="H122" s="16"/>
    </row>
    <row r="123" spans="1:8">
      <c r="A123" s="17"/>
      <c r="B123" s="14"/>
      <c r="C123" s="80"/>
      <c r="D123" s="81"/>
      <c r="E123" s="81"/>
      <c r="F123" s="14"/>
      <c r="G123" s="16"/>
      <c r="H123" s="16"/>
    </row>
    <row r="124" spans="1:8">
      <c r="A124" s="18"/>
      <c r="B124" s="14"/>
      <c r="C124" s="82"/>
      <c r="D124" s="83"/>
      <c r="E124" s="83"/>
      <c r="F124" s="19"/>
      <c r="G124" s="21"/>
      <c r="H124" s="21"/>
    </row>
    <row r="125" spans="1:8">
      <c r="A125" s="18"/>
      <c r="B125" s="14"/>
      <c r="C125" s="82"/>
      <c r="D125" s="83"/>
      <c r="E125" s="83"/>
      <c r="F125" s="19"/>
      <c r="G125" s="21"/>
      <c r="H125" s="21"/>
    </row>
    <row r="126" spans="1:8">
      <c r="A126" s="18"/>
      <c r="B126" s="14"/>
      <c r="C126" s="82"/>
      <c r="D126" s="83"/>
      <c r="E126" s="83"/>
      <c r="F126" s="19"/>
      <c r="G126" s="21"/>
      <c r="H126" s="21"/>
    </row>
    <row r="127" spans="1:8">
      <c r="A127" s="18"/>
      <c r="B127" s="14"/>
      <c r="C127" s="82"/>
      <c r="D127" s="83"/>
      <c r="E127" s="83"/>
      <c r="F127" s="19"/>
      <c r="G127" s="21"/>
      <c r="H127" s="21"/>
    </row>
    <row r="128" spans="1:8">
      <c r="A128" s="18"/>
      <c r="B128" s="14"/>
      <c r="C128" s="82"/>
      <c r="D128" s="83"/>
      <c r="E128" s="83"/>
      <c r="F128" s="19"/>
      <c r="G128" s="21"/>
      <c r="H128" s="21"/>
    </row>
    <row r="129" spans="1:8">
      <c r="A129" s="18"/>
      <c r="B129" s="14"/>
      <c r="C129" s="82"/>
      <c r="D129" s="83"/>
      <c r="E129" s="83"/>
      <c r="F129" s="19"/>
      <c r="G129" s="21"/>
      <c r="H129" s="21"/>
    </row>
    <row r="130" spans="1:8">
      <c r="A130" s="18"/>
      <c r="B130" s="14"/>
      <c r="C130" s="82"/>
      <c r="D130" s="83"/>
      <c r="E130" s="83"/>
      <c r="F130" s="19"/>
      <c r="G130" s="21"/>
      <c r="H130" s="21"/>
    </row>
    <row r="131" spans="1:8">
      <c r="A131" s="18"/>
      <c r="B131" s="14"/>
      <c r="C131" s="82"/>
      <c r="D131" s="83"/>
      <c r="E131" s="83"/>
      <c r="F131" s="19"/>
      <c r="G131" s="21"/>
      <c r="H131" s="21"/>
    </row>
    <row r="132" spans="1:8">
      <c r="A132" s="18"/>
      <c r="B132" s="14"/>
      <c r="C132" s="82"/>
      <c r="D132" s="83"/>
      <c r="E132" s="83"/>
      <c r="F132" s="19"/>
      <c r="G132" s="21"/>
      <c r="H132" s="21"/>
    </row>
    <row r="133" spans="1:8">
      <c r="A133" s="18"/>
      <c r="B133" s="14"/>
      <c r="C133" s="82"/>
      <c r="D133" s="83"/>
      <c r="E133" s="83"/>
      <c r="F133" s="19"/>
      <c r="G133" s="21"/>
      <c r="H133" s="21"/>
    </row>
    <row r="134" spans="1:8">
      <c r="A134" s="18"/>
      <c r="B134" s="14"/>
      <c r="C134" s="82"/>
      <c r="D134" s="83"/>
      <c r="E134" s="83"/>
      <c r="F134" s="19"/>
      <c r="G134" s="21"/>
      <c r="H134" s="21"/>
    </row>
    <row r="135" spans="1:8">
      <c r="A135" s="18"/>
      <c r="B135" s="14"/>
      <c r="C135" s="82"/>
      <c r="D135" s="83"/>
      <c r="E135" s="83"/>
      <c r="F135" s="19"/>
      <c r="G135" s="21"/>
      <c r="H135" s="21"/>
    </row>
    <row r="136" spans="1:8">
      <c r="A136" s="18"/>
      <c r="B136" s="14"/>
      <c r="C136" s="82"/>
      <c r="D136" s="83"/>
      <c r="E136" s="83"/>
      <c r="F136" s="19"/>
      <c r="G136" s="21"/>
      <c r="H136" s="21"/>
    </row>
    <row r="137" spans="1:8">
      <c r="A137" s="18"/>
      <c r="B137" s="14"/>
      <c r="C137" s="82"/>
      <c r="D137" s="83"/>
      <c r="E137" s="83"/>
      <c r="F137" s="19"/>
      <c r="G137" s="21"/>
      <c r="H137" s="21"/>
    </row>
    <row r="138" spans="1:8">
      <c r="A138" s="18"/>
      <c r="B138" s="14"/>
      <c r="C138" s="82"/>
      <c r="D138" s="83"/>
      <c r="E138" s="83"/>
      <c r="F138" s="19"/>
      <c r="G138" s="21"/>
      <c r="H138" s="21"/>
    </row>
    <row r="139" spans="1:8">
      <c r="A139" s="18"/>
      <c r="B139" s="14"/>
      <c r="C139" s="82"/>
      <c r="D139" s="83"/>
      <c r="E139" s="83"/>
      <c r="F139" s="19"/>
      <c r="G139" s="21"/>
      <c r="H139" s="21"/>
    </row>
    <row r="140" spans="1:8">
      <c r="A140" s="18"/>
      <c r="B140" s="14"/>
      <c r="C140" s="82"/>
      <c r="D140" s="83"/>
      <c r="E140" s="83"/>
      <c r="F140" s="19"/>
      <c r="G140" s="21"/>
      <c r="H140" s="21"/>
    </row>
    <row r="141" spans="1:8">
      <c r="A141" s="18"/>
      <c r="B141" s="14"/>
      <c r="C141" s="82"/>
      <c r="D141" s="83"/>
      <c r="E141" s="83"/>
      <c r="F141" s="19"/>
      <c r="G141" s="21"/>
      <c r="H141" s="21"/>
    </row>
    <row r="142" spans="1:8">
      <c r="A142" s="18"/>
      <c r="B142" s="14"/>
      <c r="C142" s="82"/>
      <c r="D142" s="83"/>
      <c r="E142" s="83"/>
      <c r="F142" s="19"/>
      <c r="G142" s="21"/>
      <c r="H142" s="21"/>
    </row>
    <row r="143" spans="1:8">
      <c r="A143" s="18"/>
      <c r="B143" s="14"/>
      <c r="C143" s="82"/>
      <c r="D143" s="83"/>
      <c r="E143" s="83"/>
      <c r="F143" s="19"/>
      <c r="G143" s="21"/>
      <c r="H143" s="21"/>
    </row>
    <row r="144" spans="1:8">
      <c r="A144" s="18"/>
      <c r="B144" s="14"/>
      <c r="C144" s="82"/>
      <c r="D144" s="83"/>
      <c r="E144" s="83"/>
      <c r="F144" s="19"/>
      <c r="G144" s="21"/>
      <c r="H144" s="21"/>
    </row>
    <row r="145" spans="1:8">
      <c r="A145" s="18"/>
      <c r="B145" s="14"/>
      <c r="C145" s="82"/>
      <c r="D145" s="83"/>
      <c r="E145" s="83"/>
      <c r="F145" s="19"/>
      <c r="G145" s="21"/>
      <c r="H145" s="21"/>
    </row>
    <row r="146" spans="1:8">
      <c r="A146" s="18"/>
      <c r="B146" s="14"/>
      <c r="C146" s="82"/>
      <c r="D146" s="83"/>
      <c r="E146" s="83"/>
      <c r="F146" s="19"/>
      <c r="G146" s="21"/>
      <c r="H146" s="21"/>
    </row>
    <row r="147" spans="1:8">
      <c r="A147" s="18"/>
      <c r="B147" s="14"/>
      <c r="C147" s="82"/>
      <c r="D147" s="83"/>
      <c r="E147" s="83"/>
      <c r="F147" s="19"/>
      <c r="G147" s="21"/>
      <c r="H147" s="21"/>
    </row>
    <row r="148" spans="1:8">
      <c r="A148" s="18"/>
      <c r="B148" s="14"/>
      <c r="C148" s="82"/>
      <c r="D148" s="83"/>
      <c r="E148" s="83"/>
      <c r="F148" s="19"/>
      <c r="G148" s="21"/>
      <c r="H148" s="21"/>
    </row>
    <row r="149" spans="1:8">
      <c r="A149" s="18"/>
      <c r="B149" s="14"/>
      <c r="C149" s="82"/>
      <c r="D149" s="83"/>
      <c r="E149" s="83"/>
      <c r="F149" s="19"/>
      <c r="G149" s="21"/>
      <c r="H149" s="21"/>
    </row>
    <row r="150" spans="1:8">
      <c r="A150" s="18"/>
      <c r="B150" s="14"/>
      <c r="C150" s="82"/>
      <c r="D150" s="83"/>
      <c r="E150" s="83"/>
      <c r="F150" s="19"/>
      <c r="G150" s="21"/>
      <c r="H150" s="21"/>
    </row>
    <row r="151" spans="1:8">
      <c r="A151" s="18"/>
      <c r="B151" s="14"/>
      <c r="C151" s="82"/>
      <c r="D151" s="83"/>
      <c r="E151" s="83"/>
      <c r="F151" s="19"/>
      <c r="G151" s="21"/>
      <c r="H151" s="21"/>
    </row>
    <row r="152" spans="1:8">
      <c r="A152" s="18"/>
      <c r="B152" s="14"/>
      <c r="C152" s="82"/>
      <c r="D152" s="83"/>
      <c r="E152" s="83"/>
      <c r="F152" s="19"/>
      <c r="G152" s="21"/>
      <c r="H152" s="21"/>
    </row>
    <row r="153" spans="1:8">
      <c r="A153" s="18"/>
      <c r="B153" s="14"/>
      <c r="C153" s="82"/>
      <c r="D153" s="83"/>
      <c r="E153" s="83"/>
      <c r="F153" s="19"/>
      <c r="G153" s="21"/>
      <c r="H153" s="21"/>
    </row>
    <row r="154" spans="1:8">
      <c r="A154" s="18"/>
      <c r="B154" s="14"/>
      <c r="C154" s="82"/>
      <c r="D154" s="83"/>
      <c r="E154" s="83"/>
      <c r="F154" s="19"/>
      <c r="G154" s="21"/>
      <c r="H154" s="21"/>
    </row>
    <row r="155" spans="1:8">
      <c r="A155" s="18"/>
      <c r="B155" s="14"/>
      <c r="C155" s="82"/>
      <c r="D155" s="83"/>
      <c r="E155" s="83"/>
      <c r="F155" s="19"/>
      <c r="G155" s="21"/>
      <c r="H155" s="21"/>
    </row>
    <row r="156" spans="1:8">
      <c r="A156" s="18"/>
      <c r="B156" s="14"/>
      <c r="C156" s="82"/>
      <c r="D156" s="83"/>
      <c r="E156" s="83"/>
      <c r="F156" s="19"/>
      <c r="G156" s="21"/>
      <c r="H156" s="21"/>
    </row>
    <row r="157" spans="1:8">
      <c r="A157" s="18"/>
      <c r="B157" s="14"/>
      <c r="C157" s="82"/>
      <c r="D157" s="83"/>
      <c r="E157" s="83"/>
      <c r="F157" s="19"/>
      <c r="G157" s="21"/>
      <c r="H157" s="21"/>
    </row>
    <row r="158" spans="1:8">
      <c r="A158" s="18"/>
      <c r="B158" s="14"/>
      <c r="C158" s="82"/>
      <c r="D158" s="83"/>
      <c r="E158" s="83"/>
      <c r="F158" s="19"/>
      <c r="G158" s="21"/>
      <c r="H158" s="21"/>
    </row>
    <row r="159" spans="1:8">
      <c r="A159" s="18"/>
      <c r="B159" s="14"/>
      <c r="C159" s="82"/>
      <c r="D159" s="83"/>
      <c r="E159" s="83"/>
      <c r="F159" s="19"/>
      <c r="G159" s="21"/>
      <c r="H159" s="21"/>
    </row>
    <row r="160" spans="1:8">
      <c r="A160" s="18"/>
      <c r="B160" s="14"/>
      <c r="C160" s="82"/>
      <c r="D160" s="83"/>
      <c r="E160" s="83"/>
      <c r="F160" s="19"/>
      <c r="G160" s="21"/>
      <c r="H160" s="21"/>
    </row>
    <row r="161" spans="1:8">
      <c r="A161" s="18"/>
      <c r="B161" s="14"/>
      <c r="C161" s="82"/>
      <c r="D161" s="83"/>
      <c r="E161" s="83"/>
      <c r="F161" s="19"/>
      <c r="G161" s="21"/>
      <c r="H161" s="21"/>
    </row>
    <row r="162" spans="1:8">
      <c r="A162" s="18"/>
      <c r="B162" s="14"/>
      <c r="C162" s="82"/>
      <c r="D162" s="83"/>
      <c r="E162" s="83"/>
      <c r="F162" s="19"/>
      <c r="G162" s="21"/>
      <c r="H162" s="21"/>
    </row>
    <row r="163" spans="1:8">
      <c r="A163" s="18"/>
      <c r="B163" s="14"/>
      <c r="C163" s="82"/>
      <c r="D163" s="83"/>
      <c r="E163" s="83"/>
      <c r="F163" s="19"/>
      <c r="G163" s="21"/>
      <c r="H163" s="21"/>
    </row>
    <row r="164" spans="1:8">
      <c r="A164" s="18"/>
      <c r="B164" s="14"/>
      <c r="C164" s="82"/>
      <c r="D164" s="83"/>
      <c r="E164" s="83"/>
      <c r="F164" s="19"/>
      <c r="G164" s="21"/>
      <c r="H164" s="21"/>
    </row>
    <row r="165" spans="1:8">
      <c r="A165" s="18"/>
      <c r="B165" s="14"/>
      <c r="C165" s="82"/>
      <c r="D165" s="83"/>
      <c r="E165" s="83"/>
      <c r="F165" s="19"/>
      <c r="G165" s="21"/>
      <c r="H165" s="21"/>
    </row>
    <row r="166" spans="1:8">
      <c r="A166" s="18"/>
      <c r="B166" s="14"/>
      <c r="C166" s="82"/>
      <c r="D166" s="83"/>
      <c r="E166" s="83"/>
      <c r="F166" s="19"/>
      <c r="G166" s="21"/>
      <c r="H166" s="21"/>
    </row>
    <row r="167" spans="1:8">
      <c r="A167" s="18"/>
      <c r="B167" s="14"/>
      <c r="C167" s="82"/>
      <c r="D167" s="83"/>
      <c r="E167" s="83"/>
      <c r="F167" s="19"/>
      <c r="G167" s="21"/>
      <c r="H167" s="21"/>
    </row>
    <row r="168" spans="1:8">
      <c r="A168" s="18"/>
      <c r="B168" s="14"/>
      <c r="C168" s="82"/>
      <c r="D168" s="83"/>
      <c r="E168" s="83"/>
      <c r="F168" s="19"/>
      <c r="G168" s="21"/>
      <c r="H168" s="21"/>
    </row>
    <row r="169" spans="1:8">
      <c r="A169" s="18"/>
      <c r="B169" s="14"/>
      <c r="C169" s="82"/>
      <c r="D169" s="83"/>
      <c r="E169" s="83"/>
      <c r="F169" s="19"/>
      <c r="G169" s="21"/>
      <c r="H169" s="21"/>
    </row>
    <row r="170" spans="1:8">
      <c r="A170" s="18"/>
      <c r="B170" s="14"/>
      <c r="C170" s="82"/>
      <c r="D170" s="83"/>
      <c r="E170" s="83"/>
      <c r="F170" s="19"/>
      <c r="G170" s="21"/>
      <c r="H170" s="21"/>
    </row>
    <row r="171" spans="1:8">
      <c r="A171" s="18"/>
      <c r="B171" s="14"/>
      <c r="C171" s="82"/>
      <c r="D171" s="83"/>
      <c r="E171" s="83"/>
      <c r="F171" s="19"/>
      <c r="G171" s="21"/>
      <c r="H171" s="21"/>
    </row>
    <row r="172" spans="1:8">
      <c r="A172" s="18"/>
      <c r="B172" s="14"/>
      <c r="C172" s="82"/>
      <c r="D172" s="83"/>
      <c r="E172" s="83"/>
      <c r="F172" s="19"/>
      <c r="G172" s="21"/>
      <c r="H172" s="21"/>
    </row>
    <row r="173" spans="1:8">
      <c r="A173" s="18"/>
      <c r="B173" s="14"/>
      <c r="C173" s="82"/>
      <c r="D173" s="83"/>
      <c r="E173" s="83"/>
      <c r="F173" s="19"/>
      <c r="G173" s="21"/>
      <c r="H173" s="21"/>
    </row>
    <row r="174" spans="1:8">
      <c r="A174" s="18"/>
      <c r="B174" s="14"/>
      <c r="C174" s="82"/>
      <c r="D174" s="83"/>
      <c r="E174" s="83"/>
      <c r="F174" s="19"/>
      <c r="G174" s="21"/>
      <c r="H174" s="21"/>
    </row>
    <row r="175" spans="1:8">
      <c r="A175" s="18"/>
      <c r="B175" s="14"/>
      <c r="C175" s="82"/>
      <c r="D175" s="83"/>
      <c r="E175" s="83"/>
      <c r="F175" s="19"/>
      <c r="G175" s="21"/>
      <c r="H175" s="21"/>
    </row>
    <row r="176" spans="1:8">
      <c r="A176" s="18"/>
      <c r="B176" s="14"/>
      <c r="C176" s="82"/>
      <c r="D176" s="83"/>
      <c r="E176" s="83"/>
      <c r="F176" s="19"/>
      <c r="G176" s="21"/>
      <c r="H176" s="21"/>
    </row>
    <row r="177" spans="1:8">
      <c r="A177" s="18"/>
      <c r="B177" s="14"/>
      <c r="C177" s="82"/>
      <c r="D177" s="83"/>
      <c r="E177" s="83"/>
      <c r="F177" s="19"/>
      <c r="G177" s="21"/>
      <c r="H177" s="21"/>
    </row>
    <row r="178" spans="1:8">
      <c r="A178" s="18"/>
      <c r="B178" s="14"/>
      <c r="C178" s="82"/>
      <c r="D178" s="83"/>
      <c r="E178" s="83"/>
      <c r="F178" s="19"/>
      <c r="G178" s="21"/>
      <c r="H178" s="21"/>
    </row>
    <row r="179" spans="1:8">
      <c r="A179" s="18"/>
      <c r="B179" s="14"/>
      <c r="C179" s="82"/>
      <c r="D179" s="83"/>
      <c r="E179" s="83"/>
      <c r="F179" s="19"/>
      <c r="G179" s="21"/>
      <c r="H179" s="21"/>
    </row>
    <row r="180" spans="1:8">
      <c r="A180" s="18"/>
      <c r="B180" s="14"/>
      <c r="C180" s="82"/>
      <c r="D180" s="83"/>
      <c r="E180" s="83"/>
      <c r="F180" s="19"/>
      <c r="G180" s="21"/>
      <c r="H180" s="21"/>
    </row>
    <row r="181" spans="1:8">
      <c r="A181" s="18"/>
      <c r="B181" s="14"/>
      <c r="C181" s="82"/>
      <c r="D181" s="83"/>
      <c r="E181" s="83"/>
      <c r="F181" s="19"/>
      <c r="G181" s="21"/>
      <c r="H181" s="21"/>
    </row>
    <row r="182" spans="1:8">
      <c r="A182" s="18"/>
      <c r="B182" s="14"/>
      <c r="C182" s="82"/>
      <c r="D182" s="83"/>
      <c r="E182" s="83"/>
      <c r="F182" s="19"/>
      <c r="G182" s="21"/>
      <c r="H182" s="21"/>
    </row>
    <row r="183" spans="1:8">
      <c r="A183" s="18"/>
      <c r="B183" s="14"/>
      <c r="C183" s="82"/>
      <c r="D183" s="83"/>
      <c r="E183" s="83"/>
      <c r="F183" s="19"/>
      <c r="G183" s="21"/>
      <c r="H183" s="21"/>
    </row>
    <row r="184" spans="1:8">
      <c r="A184" s="18"/>
      <c r="B184" s="14"/>
      <c r="C184" s="82"/>
      <c r="D184" s="83"/>
      <c r="E184" s="83"/>
      <c r="F184" s="19"/>
      <c r="G184" s="21"/>
      <c r="H184" s="21"/>
    </row>
    <row r="185" spans="1:8">
      <c r="A185" s="18"/>
      <c r="B185" s="14"/>
      <c r="C185" s="82"/>
      <c r="D185" s="83"/>
      <c r="E185" s="83"/>
      <c r="F185" s="19"/>
      <c r="G185" s="21"/>
      <c r="H185" s="21"/>
    </row>
    <row r="186" spans="1:8">
      <c r="A186" s="18"/>
      <c r="B186" s="14"/>
      <c r="C186" s="82"/>
      <c r="D186" s="83"/>
      <c r="E186" s="83"/>
      <c r="F186" s="19"/>
      <c r="G186" s="21"/>
      <c r="H186" s="21"/>
    </row>
    <row r="187" spans="1:8">
      <c r="A187" s="18"/>
      <c r="B187" s="14"/>
      <c r="C187" s="82"/>
      <c r="D187" s="83"/>
      <c r="E187" s="83"/>
      <c r="F187" s="19"/>
      <c r="G187" s="21"/>
      <c r="H187" s="21"/>
    </row>
    <row r="188" spans="1:8">
      <c r="A188" s="18"/>
      <c r="B188" s="14"/>
      <c r="C188" s="82"/>
      <c r="D188" s="83"/>
      <c r="E188" s="83"/>
      <c r="F188" s="19"/>
      <c r="G188" s="21"/>
      <c r="H188" s="21"/>
    </row>
    <row r="189" spans="1:8">
      <c r="A189" s="18"/>
      <c r="B189" s="14"/>
      <c r="C189" s="82"/>
      <c r="D189" s="83"/>
      <c r="E189" s="83"/>
      <c r="F189" s="19"/>
      <c r="G189" s="21"/>
      <c r="H189" s="21"/>
    </row>
    <row r="190" spans="1:8">
      <c r="A190" s="18"/>
      <c r="B190" s="14"/>
      <c r="C190" s="82"/>
      <c r="D190" s="83"/>
      <c r="E190" s="83"/>
      <c r="F190" s="19"/>
      <c r="G190" s="21"/>
      <c r="H190" s="21"/>
    </row>
    <row r="191" spans="1:8">
      <c r="A191" s="18"/>
      <c r="B191" s="14"/>
      <c r="C191" s="82"/>
      <c r="D191" s="83"/>
      <c r="E191" s="83"/>
      <c r="F191" s="19"/>
      <c r="G191" s="21"/>
      <c r="H191" s="21"/>
    </row>
    <row r="192" spans="1:8">
      <c r="A192" s="18"/>
      <c r="B192" s="14"/>
      <c r="C192" s="82"/>
      <c r="D192" s="83"/>
      <c r="E192" s="83"/>
      <c r="F192" s="19"/>
      <c r="G192" s="21"/>
      <c r="H192" s="21"/>
    </row>
    <row r="193" spans="1:8">
      <c r="A193" s="18"/>
      <c r="B193" s="14"/>
      <c r="C193" s="82"/>
      <c r="D193" s="83"/>
      <c r="E193" s="83"/>
      <c r="F193" s="19"/>
      <c r="G193" s="21"/>
      <c r="H193" s="21"/>
    </row>
    <row r="194" spans="1:8">
      <c r="A194" s="18"/>
      <c r="B194" s="14"/>
      <c r="C194" s="82"/>
      <c r="D194" s="83"/>
      <c r="E194" s="83"/>
      <c r="F194" s="19"/>
      <c r="G194" s="21"/>
      <c r="H194" s="21"/>
    </row>
    <row r="195" spans="1:8">
      <c r="A195" s="18"/>
      <c r="B195" s="14"/>
      <c r="C195" s="82"/>
      <c r="D195" s="83"/>
      <c r="E195" s="83"/>
      <c r="F195" s="19"/>
      <c r="G195" s="21"/>
      <c r="H195" s="21"/>
    </row>
    <row r="196" spans="1:8">
      <c r="A196" s="18"/>
      <c r="B196" s="14"/>
      <c r="C196" s="82"/>
      <c r="D196" s="83"/>
      <c r="E196" s="83"/>
      <c r="F196" s="19"/>
      <c r="G196" s="21"/>
      <c r="H196" s="21"/>
    </row>
    <row r="197" spans="1:8">
      <c r="A197" s="18"/>
      <c r="B197" s="14"/>
      <c r="C197" s="82"/>
      <c r="D197" s="83"/>
      <c r="E197" s="83"/>
      <c r="F197" s="19"/>
      <c r="G197" s="21"/>
      <c r="H197" s="21"/>
    </row>
    <row r="198" spans="1:8">
      <c r="A198" s="18"/>
      <c r="B198" s="14"/>
      <c r="C198" s="82"/>
      <c r="D198" s="83"/>
      <c r="E198" s="83"/>
      <c r="F198" s="19"/>
      <c r="G198" s="21"/>
      <c r="H198" s="21"/>
    </row>
    <row r="199" spans="1:8">
      <c r="A199" s="18"/>
      <c r="B199" s="14"/>
      <c r="C199" s="82"/>
      <c r="D199" s="83"/>
      <c r="E199" s="83"/>
      <c r="F199" s="19"/>
      <c r="G199" s="21"/>
      <c r="H199" s="21"/>
    </row>
    <row r="200" spans="1:8">
      <c r="A200" s="18"/>
      <c r="B200" s="14"/>
      <c r="C200" s="82"/>
      <c r="D200" s="83"/>
      <c r="E200" s="83"/>
      <c r="F200" s="19"/>
      <c r="G200" s="21"/>
      <c r="H200" s="21"/>
    </row>
    <row r="201" spans="1:8">
      <c r="A201" s="18"/>
      <c r="B201" s="14"/>
      <c r="C201" s="82"/>
      <c r="D201" s="83"/>
      <c r="E201" s="83"/>
      <c r="F201" s="19"/>
      <c r="G201" s="21"/>
      <c r="H201" s="21"/>
    </row>
    <row r="202" spans="1:8">
      <c r="A202" s="18"/>
      <c r="B202" s="14"/>
      <c r="C202" s="82"/>
      <c r="D202" s="83"/>
      <c r="E202" s="83"/>
      <c r="F202" s="19"/>
      <c r="G202" s="21"/>
      <c r="H202" s="21"/>
    </row>
    <row r="203" spans="1:8">
      <c r="A203" s="18"/>
      <c r="B203" s="14"/>
      <c r="C203" s="82"/>
      <c r="D203" s="83"/>
      <c r="E203" s="83"/>
      <c r="F203" s="19"/>
      <c r="G203" s="21"/>
      <c r="H203" s="21"/>
    </row>
    <row r="204" spans="1:8">
      <c r="A204" s="18"/>
      <c r="B204" s="14"/>
      <c r="C204" s="82"/>
      <c r="D204" s="83"/>
      <c r="E204" s="83"/>
      <c r="F204" s="19"/>
      <c r="G204" s="21"/>
      <c r="H204" s="21"/>
    </row>
    <row r="205" spans="1:8">
      <c r="A205" s="18"/>
      <c r="B205" s="14"/>
      <c r="C205" s="82"/>
      <c r="D205" s="83"/>
      <c r="E205" s="83"/>
      <c r="F205" s="19"/>
      <c r="G205" s="21"/>
      <c r="H205" s="21"/>
    </row>
    <row r="206" spans="1:8">
      <c r="A206" s="18"/>
      <c r="B206" s="14"/>
      <c r="C206" s="82"/>
      <c r="D206" s="83"/>
      <c r="E206" s="83"/>
      <c r="F206" s="19"/>
      <c r="G206" s="21"/>
      <c r="H206" s="21"/>
    </row>
    <row r="207" spans="1:8">
      <c r="A207" s="18"/>
      <c r="B207" s="14"/>
      <c r="C207" s="82"/>
      <c r="D207" s="83"/>
      <c r="E207" s="83"/>
      <c r="F207" s="19"/>
      <c r="G207" s="21"/>
      <c r="H207" s="21"/>
    </row>
    <row r="208" spans="1:8">
      <c r="A208" s="18"/>
      <c r="B208" s="14"/>
      <c r="C208" s="82"/>
      <c r="D208" s="83"/>
      <c r="E208" s="83"/>
      <c r="F208" s="19"/>
      <c r="G208" s="21"/>
      <c r="H208" s="21"/>
    </row>
    <row r="209" spans="1:8">
      <c r="A209" s="18"/>
      <c r="B209" s="14"/>
      <c r="C209" s="82"/>
      <c r="D209" s="83"/>
      <c r="E209" s="83"/>
      <c r="F209" s="19"/>
      <c r="G209" s="21"/>
      <c r="H209" s="21"/>
    </row>
    <row r="210" spans="1:8">
      <c r="A210" s="18"/>
      <c r="B210" s="14"/>
      <c r="C210" s="82"/>
      <c r="D210" s="83"/>
      <c r="E210" s="83"/>
      <c r="F210" s="19"/>
      <c r="G210" s="21"/>
      <c r="H210" s="21"/>
    </row>
    <row r="211" spans="1:8">
      <c r="A211" s="18"/>
      <c r="B211" s="14"/>
      <c r="C211" s="82"/>
      <c r="D211" s="83"/>
      <c r="E211" s="83"/>
      <c r="F211" s="19"/>
      <c r="G211" s="21"/>
      <c r="H211" s="21"/>
    </row>
    <row r="212" spans="1:8">
      <c r="A212" s="18"/>
      <c r="B212" s="14"/>
      <c r="C212" s="82"/>
      <c r="D212" s="83"/>
      <c r="E212" s="83"/>
      <c r="F212" s="19"/>
      <c r="G212" s="21"/>
      <c r="H212" s="21"/>
    </row>
    <row r="213" spans="1:8">
      <c r="A213" s="18"/>
      <c r="B213" s="14"/>
      <c r="C213" s="82"/>
      <c r="D213" s="83"/>
      <c r="E213" s="83"/>
      <c r="F213" s="19"/>
      <c r="G213" s="21"/>
      <c r="H213" s="21"/>
    </row>
    <row r="214" spans="1:8">
      <c r="A214" s="18"/>
      <c r="B214" s="14"/>
      <c r="C214" s="82"/>
      <c r="D214" s="83"/>
      <c r="E214" s="83"/>
      <c r="F214" s="19"/>
      <c r="G214" s="21"/>
      <c r="H214" s="21"/>
    </row>
    <row r="215" spans="1:8">
      <c r="A215" s="18"/>
      <c r="B215" s="14"/>
      <c r="C215" s="82"/>
      <c r="D215" s="83"/>
      <c r="E215" s="83"/>
      <c r="F215" s="19"/>
      <c r="G215" s="21"/>
      <c r="H215" s="21"/>
    </row>
    <row r="216" spans="1:8">
      <c r="A216" s="18"/>
      <c r="B216" s="14"/>
      <c r="C216" s="82"/>
      <c r="D216" s="83"/>
      <c r="E216" s="83"/>
      <c r="F216" s="19"/>
      <c r="G216" s="21"/>
      <c r="H216" s="21"/>
    </row>
    <row r="217" spans="1:8">
      <c r="A217" s="18"/>
      <c r="B217" s="14"/>
      <c r="C217" s="82"/>
      <c r="D217" s="83"/>
      <c r="E217" s="83"/>
      <c r="F217" s="19"/>
      <c r="G217" s="21"/>
      <c r="H217" s="21"/>
    </row>
    <row r="218" spans="1:8">
      <c r="A218" s="18"/>
      <c r="B218" s="14"/>
      <c r="C218" s="82"/>
      <c r="D218" s="83"/>
      <c r="E218" s="83"/>
      <c r="F218" s="19"/>
      <c r="G218" s="21"/>
      <c r="H218" s="21"/>
    </row>
    <row r="219" spans="1:8">
      <c r="A219" s="18"/>
      <c r="B219" s="14"/>
      <c r="C219" s="82"/>
      <c r="D219" s="83"/>
      <c r="E219" s="83"/>
      <c r="F219" s="19"/>
      <c r="G219" s="21"/>
      <c r="H219" s="21"/>
    </row>
    <row r="220" spans="1:8">
      <c r="A220" s="18"/>
      <c r="B220" s="14"/>
      <c r="C220" s="82"/>
      <c r="D220" s="83"/>
      <c r="E220" s="83"/>
      <c r="F220" s="19"/>
      <c r="G220" s="21"/>
      <c r="H220" s="21"/>
    </row>
    <row r="221" spans="1:8">
      <c r="A221" s="18"/>
      <c r="B221" s="14"/>
      <c r="C221" s="82"/>
      <c r="D221" s="83"/>
      <c r="E221" s="83"/>
      <c r="F221" s="19"/>
      <c r="G221" s="21"/>
      <c r="H221" s="21"/>
    </row>
    <row r="222" spans="1:8">
      <c r="A222" s="18"/>
      <c r="B222" s="14"/>
      <c r="C222" s="82"/>
      <c r="D222" s="83"/>
      <c r="E222" s="83"/>
      <c r="F222" s="19"/>
      <c r="G222" s="21"/>
      <c r="H222" s="21"/>
    </row>
    <row r="223" spans="1:8">
      <c r="A223" s="18"/>
      <c r="B223" s="14"/>
      <c r="C223" s="82"/>
      <c r="D223" s="83"/>
      <c r="E223" s="83"/>
      <c r="F223" s="19"/>
      <c r="G223" s="21"/>
      <c r="H223" s="21"/>
    </row>
    <row r="224" spans="1:8">
      <c r="A224" s="18"/>
      <c r="B224" s="14"/>
      <c r="C224" s="82"/>
      <c r="D224" s="83"/>
      <c r="E224" s="83"/>
      <c r="F224" s="19"/>
      <c r="G224" s="21"/>
      <c r="H224" s="21"/>
    </row>
    <row r="225" spans="1:8">
      <c r="A225" s="18"/>
      <c r="B225" s="14"/>
      <c r="C225" s="82"/>
      <c r="D225" s="83"/>
      <c r="E225" s="83"/>
      <c r="F225" s="19"/>
      <c r="G225" s="21"/>
      <c r="H225" s="21"/>
    </row>
    <row r="226" spans="1:8">
      <c r="A226" s="18"/>
      <c r="B226" s="14"/>
      <c r="C226" s="82"/>
      <c r="D226" s="83"/>
      <c r="E226" s="83"/>
      <c r="F226" s="19"/>
      <c r="G226" s="21"/>
      <c r="H226" s="21"/>
    </row>
    <row r="227" spans="1:8">
      <c r="A227" s="18"/>
      <c r="B227" s="14"/>
      <c r="C227" s="82"/>
      <c r="D227" s="83"/>
      <c r="E227" s="83"/>
      <c r="F227" s="19"/>
      <c r="G227" s="21"/>
      <c r="H227" s="21"/>
    </row>
    <row r="228" spans="1:8">
      <c r="A228" s="18"/>
      <c r="B228" s="14"/>
      <c r="C228" s="82"/>
      <c r="D228" s="83"/>
      <c r="E228" s="83"/>
      <c r="F228" s="19"/>
      <c r="G228" s="21"/>
      <c r="H228" s="21"/>
    </row>
    <row r="229" spans="1:8">
      <c r="A229" s="18"/>
      <c r="B229" s="14"/>
      <c r="C229" s="82"/>
      <c r="D229" s="83"/>
      <c r="E229" s="83"/>
      <c r="F229" s="19"/>
      <c r="G229" s="21"/>
      <c r="H229" s="21"/>
    </row>
    <row r="230" spans="1:8">
      <c r="A230" s="18"/>
      <c r="B230" s="14"/>
      <c r="C230" s="82"/>
      <c r="D230" s="83"/>
      <c r="E230" s="83"/>
      <c r="F230" s="19"/>
      <c r="G230" s="21"/>
      <c r="H230" s="21"/>
    </row>
    <row r="231" spans="1:8">
      <c r="A231" s="18"/>
      <c r="B231" s="14"/>
      <c r="C231" s="82"/>
      <c r="D231" s="83"/>
      <c r="E231" s="83"/>
      <c r="F231" s="19"/>
      <c r="G231" s="21"/>
      <c r="H231" s="21"/>
    </row>
    <row r="232" spans="1:8">
      <c r="A232" s="18"/>
      <c r="B232" s="14"/>
      <c r="C232" s="82"/>
      <c r="D232" s="83"/>
      <c r="E232" s="83"/>
      <c r="F232" s="19"/>
      <c r="G232" s="21"/>
      <c r="H232" s="21"/>
    </row>
    <row r="233" spans="1:8">
      <c r="A233" s="18"/>
      <c r="B233" s="14"/>
      <c r="C233" s="82"/>
      <c r="D233" s="83"/>
      <c r="E233" s="83"/>
      <c r="F233" s="19"/>
      <c r="G233" s="21"/>
      <c r="H233" s="21"/>
    </row>
    <row r="234" spans="1:8">
      <c r="A234" s="18"/>
      <c r="B234" s="14"/>
      <c r="C234" s="82"/>
      <c r="D234" s="83"/>
      <c r="E234" s="83"/>
      <c r="F234" s="19"/>
      <c r="G234" s="21"/>
      <c r="H234" s="21"/>
    </row>
    <row r="235" spans="1:8">
      <c r="A235" s="18"/>
      <c r="B235" s="14"/>
      <c r="C235" s="82"/>
      <c r="D235" s="83"/>
      <c r="E235" s="83"/>
      <c r="F235" s="19"/>
      <c r="G235" s="21"/>
      <c r="H235" s="21"/>
    </row>
    <row r="236" spans="1:8">
      <c r="A236" s="18"/>
      <c r="B236" s="14"/>
      <c r="C236" s="82"/>
      <c r="D236" s="83"/>
      <c r="E236" s="83"/>
      <c r="F236" s="19"/>
      <c r="G236" s="21"/>
      <c r="H236" s="21"/>
    </row>
    <row r="237" spans="1:8">
      <c r="A237" s="18"/>
      <c r="B237" s="14"/>
      <c r="C237" s="82"/>
      <c r="D237" s="83"/>
      <c r="E237" s="83"/>
      <c r="F237" s="19"/>
      <c r="G237" s="21"/>
      <c r="H237" s="21"/>
    </row>
    <row r="238" spans="1:8">
      <c r="A238" s="18"/>
      <c r="B238" s="14"/>
      <c r="C238" s="82"/>
      <c r="D238" s="83"/>
      <c r="E238" s="83"/>
      <c r="F238" s="19"/>
      <c r="G238" s="21"/>
      <c r="H238" s="21"/>
    </row>
    <row r="239" spans="1:8">
      <c r="A239" s="18"/>
      <c r="B239" s="14"/>
      <c r="C239" s="82"/>
      <c r="D239" s="83"/>
      <c r="E239" s="83"/>
      <c r="F239" s="19"/>
      <c r="G239" s="21"/>
      <c r="H239" s="21"/>
    </row>
    <row r="240" spans="1:8">
      <c r="A240" s="18"/>
      <c r="B240" s="14"/>
      <c r="C240" s="82"/>
      <c r="D240" s="83"/>
      <c r="E240" s="83"/>
      <c r="F240" s="19"/>
      <c r="G240" s="21"/>
      <c r="H240" s="21"/>
    </row>
    <row r="241" spans="1:8">
      <c r="A241" s="18"/>
      <c r="B241" s="14"/>
      <c r="C241" s="82"/>
      <c r="D241" s="83"/>
      <c r="E241" s="83"/>
      <c r="F241" s="19"/>
      <c r="G241" s="21"/>
      <c r="H241" s="21"/>
    </row>
    <row r="242" spans="1:8">
      <c r="A242" s="18"/>
      <c r="B242" s="14"/>
      <c r="C242" s="82"/>
      <c r="D242" s="83"/>
      <c r="E242" s="83"/>
      <c r="F242" s="19"/>
      <c r="G242" s="21"/>
      <c r="H242" s="21"/>
    </row>
    <row r="243" spans="1:8">
      <c r="A243" s="18"/>
      <c r="B243" s="19"/>
      <c r="C243" s="80"/>
      <c r="D243" s="81"/>
      <c r="E243" s="83"/>
      <c r="F243" s="19"/>
      <c r="G243" s="21"/>
      <c r="H243" s="21"/>
    </row>
    <row r="244" spans="1:8" ht="10.8" thickBot="1">
      <c r="A244" s="22" t="s">
        <v>9</v>
      </c>
      <c r="B244" s="23"/>
      <c r="C244" s="23"/>
      <c r="D244" s="23"/>
      <c r="E244" s="23"/>
      <c r="F244" s="23"/>
      <c r="G244" s="23"/>
      <c r="H244" s="23"/>
    </row>
    <row r="245" spans="1:8" ht="10.8" thickTop="1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"/>
  <sheetViews>
    <sheetView topLeftCell="A70" workbookViewId="0">
      <selection activeCell="E36" sqref="E36"/>
    </sheetView>
  </sheetViews>
  <sheetFormatPr defaultRowHeight="10.199999999999999"/>
  <cols>
    <col min="1" max="1" width="11.6640625" style="2" customWidth="1"/>
    <col min="2" max="2" width="26.6640625" style="2" customWidth="1"/>
    <col min="3" max="11" width="13.88671875" style="2" customWidth="1"/>
    <col min="12" max="16384" width="8.88671875" style="2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 ht="14.4" customHeight="1">
      <c r="A5" s="14"/>
      <c r="B5" s="151" t="s">
        <v>13</v>
      </c>
      <c r="C5" s="26">
        <v>43313</v>
      </c>
      <c r="D5" s="153" t="s">
        <v>81</v>
      </c>
      <c r="E5" s="153"/>
      <c r="F5" s="153"/>
      <c r="G5" s="153"/>
      <c r="H5" s="153"/>
      <c r="I5" s="153"/>
      <c r="J5" s="153"/>
      <c r="K5" s="153"/>
    </row>
    <row r="6" spans="1:11" ht="14.4" customHeight="1">
      <c r="A6" s="38" t="s">
        <v>14</v>
      </c>
      <c r="B6" s="154"/>
      <c r="C6" s="155" t="s">
        <v>15</v>
      </c>
      <c r="D6" s="151" t="s">
        <v>18</v>
      </c>
      <c r="E6" s="151" t="s">
        <v>16</v>
      </c>
      <c r="F6" s="151" t="s">
        <v>10</v>
      </c>
      <c r="G6" s="151" t="s">
        <v>17</v>
      </c>
      <c r="H6" s="157" t="s">
        <v>19</v>
      </c>
      <c r="I6" s="158"/>
      <c r="J6" s="28" t="s">
        <v>20</v>
      </c>
      <c r="K6" s="28" t="s">
        <v>15</v>
      </c>
    </row>
    <row r="7" spans="1:11">
      <c r="A7" s="39"/>
      <c r="B7" s="152"/>
      <c r="C7" s="156"/>
      <c r="D7" s="152"/>
      <c r="E7" s="152"/>
      <c r="F7" s="152"/>
      <c r="G7" s="152"/>
      <c r="H7" s="28" t="s">
        <v>760</v>
      </c>
      <c r="I7" s="28" t="s">
        <v>201</v>
      </c>
      <c r="J7" s="27"/>
      <c r="K7" s="27"/>
    </row>
    <row r="8" spans="1:11">
      <c r="A8" s="29">
        <v>1101</v>
      </c>
      <c r="B8" s="14" t="s">
        <v>21</v>
      </c>
      <c r="C8" s="16"/>
      <c r="D8" s="16">
        <f>IFERROR(INDEX(SJ!$1:$1048576,MATCH("Total",SJ!$A:$A,),MATCH($A8,SJ!$6:$6,)),0)</f>
        <v>631510.65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0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4" si="0">SUM(D8:I8)</f>
        <v>631510.65</v>
      </c>
      <c r="K8" s="16">
        <f t="shared" ref="K8:K24" si="1">+C8+J8</f>
        <v>631510.65</v>
      </c>
    </row>
    <row r="9" spans="1:11">
      <c r="A9" s="29">
        <v>1111</v>
      </c>
      <c r="B9" s="14" t="s">
        <v>52</v>
      </c>
      <c r="C9" s="16"/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0</v>
      </c>
      <c r="H9" s="16">
        <f>IFERROR(INDEX('GJ-PCF'!$1:$1048576,MATCH("Total",'GJ-PCF'!$A:$A,),MATCH($A9,'GJ-PCF'!$6:$6,)),0)</f>
        <v>-51761.314642857127</v>
      </c>
      <c r="I9" s="16">
        <f>SUMIF(GJ!C:C,A9,GJ!G:G)-SUMIF(GJ!C:C,A9,GJ!H:H)</f>
        <v>0</v>
      </c>
      <c r="J9" s="16">
        <f t="shared" si="0"/>
        <v>-51761.314642857127</v>
      </c>
      <c r="K9" s="16">
        <f t="shared" si="1"/>
        <v>-51761.314642857127</v>
      </c>
    </row>
    <row r="10" spans="1:11">
      <c r="A10" s="29">
        <v>1250</v>
      </c>
      <c r="B10" s="14" t="s">
        <v>198</v>
      </c>
      <c r="C10" s="16"/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-1061.6000000000001</v>
      </c>
      <c r="J10" s="16">
        <f t="shared" si="0"/>
        <v>-1061.6000000000001</v>
      </c>
      <c r="K10" s="16">
        <f t="shared" si="1"/>
        <v>-1061.6000000000001</v>
      </c>
    </row>
    <row r="11" spans="1:11">
      <c r="A11" s="29">
        <v>1301</v>
      </c>
      <c r="B11" s="14" t="s">
        <v>223</v>
      </c>
      <c r="C11" s="16"/>
      <c r="D11" s="16">
        <f>IFERROR(INDEX(SJ!$1:$1048576,MATCH("Total",SJ!$A:$A,),MATCH($A11,SJ!$6:$6,)),0)</f>
        <v>0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si="0"/>
        <v>0</v>
      </c>
      <c r="K11" s="16">
        <f t="shared" si="1"/>
        <v>0</v>
      </c>
    </row>
    <row r="12" spans="1:11">
      <c r="A12" s="29">
        <v>1302</v>
      </c>
      <c r="B12" s="14" t="s">
        <v>224</v>
      </c>
      <c r="C12" s="16"/>
      <c r="D12" s="16">
        <f>IFERROR(INDEX(SJ!$1:$1048576,MATCH("Total",SJ!$A:$A,),MATCH($A12,SJ!$6:$6,)),0)</f>
        <v>253141.28829000008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0</v>
      </c>
      <c r="J12" s="16">
        <f t="shared" si="0"/>
        <v>253141.28829000008</v>
      </c>
      <c r="K12" s="16">
        <f t="shared" si="1"/>
        <v>253141.28829000008</v>
      </c>
    </row>
    <row r="13" spans="1:11">
      <c r="A13" s="29">
        <v>1303</v>
      </c>
      <c r="B13" s="14" t="s">
        <v>226</v>
      </c>
      <c r="C13" s="16"/>
      <c r="D13" s="16">
        <f>IFERROR(INDEX(SJ!$1:$1048576,MATCH("Total",SJ!$A:$A,),MATCH($A13,SJ!$6:$6,)),0)</f>
        <v>500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500</v>
      </c>
      <c r="K13" s="16">
        <f t="shared" si="1"/>
        <v>500</v>
      </c>
    </row>
    <row r="14" spans="1:11">
      <c r="A14" s="29">
        <v>1304</v>
      </c>
      <c r="B14" s="14" t="s">
        <v>225</v>
      </c>
      <c r="C14" s="16"/>
      <c r="D14" s="16">
        <f>IFERROR(INDEX(SJ!$1:$1048576,MATCH("Total",SJ!$A:$A,),MATCH($A14,SJ!$6:$6,)),0)</f>
        <v>126265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126265</v>
      </c>
      <c r="K14" s="16">
        <f t="shared" si="1"/>
        <v>126265</v>
      </c>
    </row>
    <row r="15" spans="1:11">
      <c r="A15" s="29">
        <v>1401</v>
      </c>
      <c r="B15" s="14" t="s">
        <v>278</v>
      </c>
      <c r="C15" s="16">
        <v>80678.736259828889</v>
      </c>
      <c r="D15" s="16">
        <f>IFERROR(INDEX(SJ!$1:$1048576,MATCH("Total",SJ!$A:$A,),MATCH($A15,SJ!$6:$6,)),0)</f>
        <v>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17346.543105519479</v>
      </c>
      <c r="J15" s="16">
        <f t="shared" si="0"/>
        <v>17346.543105519479</v>
      </c>
      <c r="K15" s="16">
        <f t="shared" si="1"/>
        <v>98025.279365348368</v>
      </c>
    </row>
    <row r="16" spans="1:11">
      <c r="A16" s="29">
        <v>1402</v>
      </c>
      <c r="B16" s="14" t="s">
        <v>285</v>
      </c>
      <c r="C16" s="138">
        <v>9160.24</v>
      </c>
      <c r="D16" s="16">
        <f>IFERROR(INDEX(SJ!$1:$1048576,MATCH("Total",SJ!$A:$A,),MATCH($A16,SJ!$6:$6,)),0)</f>
        <v>0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2671.4800000000014</v>
      </c>
      <c r="J16" s="16">
        <f t="shared" si="0"/>
        <v>2671.4800000000014</v>
      </c>
      <c r="K16" s="16">
        <f t="shared" si="1"/>
        <v>11831.720000000001</v>
      </c>
    </row>
    <row r="17" spans="1:11">
      <c r="A17" s="29">
        <v>1501</v>
      </c>
      <c r="B17" s="14" t="s">
        <v>27</v>
      </c>
      <c r="C17" s="16"/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39444.202499999999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2874.1296428571445</v>
      </c>
      <c r="I17" s="16">
        <f>SUMIF(GJ!C:C,A17,GJ!G:G)-SUMIF(GJ!C:C,A17,GJ!H:H)</f>
        <v>0</v>
      </c>
      <c r="J17" s="16">
        <f t="shared" si="0"/>
        <v>42318.332142857143</v>
      </c>
      <c r="K17" s="16">
        <f t="shared" si="1"/>
        <v>42318.332142857143</v>
      </c>
    </row>
    <row r="18" spans="1:11">
      <c r="A18" s="29">
        <v>1502</v>
      </c>
      <c r="B18" s="14" t="s">
        <v>228</v>
      </c>
      <c r="C18" s="16"/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0</v>
      </c>
      <c r="J18" s="16">
        <f t="shared" si="0"/>
        <v>0</v>
      </c>
      <c r="K18" s="16">
        <f t="shared" si="1"/>
        <v>0</v>
      </c>
    </row>
    <row r="19" spans="1:11">
      <c r="A19" s="29">
        <v>1503</v>
      </c>
      <c r="B19" s="14" t="s">
        <v>229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0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0</v>
      </c>
      <c r="I19" s="16">
        <f>SUMIF(GJ!C:C,A19,GJ!G:G)-SUMIF(GJ!C:C,A19,GJ!H:H)</f>
        <v>0</v>
      </c>
      <c r="J19" s="16">
        <f t="shared" si="0"/>
        <v>0</v>
      </c>
      <c r="K19" s="16">
        <f t="shared" si="1"/>
        <v>0</v>
      </c>
    </row>
    <row r="20" spans="1:11">
      <c r="A20" s="29">
        <v>1504</v>
      </c>
      <c r="B20" s="14" t="s">
        <v>230</v>
      </c>
      <c r="C20" s="16"/>
      <c r="D20" s="16">
        <f>IFERROR(INDEX(SJ!$1:$1048576,MATCH("Total",SJ!$A:$A,),MATCH($A20,SJ!$6:$6,)),0)</f>
        <v>1300.1607000000001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1300.1607000000001</v>
      </c>
      <c r="K20" s="16">
        <f t="shared" si="1"/>
        <v>1300.1607000000001</v>
      </c>
    </row>
    <row r="21" spans="1:11">
      <c r="A21" s="29">
        <v>2101</v>
      </c>
      <c r="B21" s="14" t="s">
        <v>12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-470001.04763571429</v>
      </c>
      <c r="G21" s="16">
        <f>IFERROR(INDEX(CD!$1:$1048576,MATCH("Total",CD!$A:$A,),MATCH($A21,CD!$6:$6,)),0)</f>
        <v>0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-470001.04763571429</v>
      </c>
      <c r="K21" s="16">
        <f t="shared" si="1"/>
        <v>-470001.04763571429</v>
      </c>
    </row>
    <row r="22" spans="1:11">
      <c r="A22" s="29">
        <v>2110</v>
      </c>
      <c r="B22" s="14" t="s">
        <v>35</v>
      </c>
      <c r="C22" s="16"/>
      <c r="D22" s="16">
        <f>IFERROR(INDEX(SJ!$1:$1048576,MATCH("Total",SJ!$A:$A,),MATCH($A22,SJ!$6:$6,)),0)</f>
        <v>0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si="0"/>
        <v>0</v>
      </c>
      <c r="K22" s="16">
        <f t="shared" si="1"/>
        <v>0</v>
      </c>
    </row>
    <row r="23" spans="1:11">
      <c r="A23" s="40">
        <v>2201</v>
      </c>
      <c r="B23" s="41" t="s">
        <v>28</v>
      </c>
      <c r="C23" s="42"/>
      <c r="D23" s="42">
        <f>IFERROR(INDEX(SJ!$1:$1048576,MATCH("Total",SJ!$A:$A,),MATCH($A23,SJ!$6:$6,)),0)</f>
        <v>0</v>
      </c>
      <c r="E23" s="42"/>
      <c r="F23" s="42">
        <f>IFERROR(INDEX(AP!$1:$1048576,MATCH("Total",AP!$A:$A,),MATCH($A23,AP!$6:$6,)),0)</f>
        <v>-14503.962364285713</v>
      </c>
      <c r="G23" s="42">
        <f>IFERROR(INDEX(CD!$1:$1048576,MATCH("Total",CD!$A:$A,),MATCH($A23,CD!$6:$6,)),0)</f>
        <v>0</v>
      </c>
      <c r="H23" s="42">
        <f>IFERROR(INDEX('GJ-PCF'!$1:$1048576,MATCH("Total",'GJ-PCF'!$A:$A,),MATCH($A23,'GJ-PCF'!$6:$6,)),0)</f>
        <v>-62.125</v>
      </c>
      <c r="I23" s="42">
        <f>SUMIF(GJ!C:C,A23,GJ!G:G)-SUMIF(GJ!C:C,A23,GJ!H:H)</f>
        <v>0</v>
      </c>
      <c r="J23" s="42">
        <f t="shared" si="0"/>
        <v>-14566.087364285713</v>
      </c>
      <c r="K23" s="42">
        <f t="shared" si="1"/>
        <v>-14566.087364285713</v>
      </c>
    </row>
    <row r="24" spans="1:11" s="104" customFormat="1">
      <c r="A24" s="101">
        <v>2202</v>
      </c>
      <c r="B24" s="102" t="s">
        <v>235</v>
      </c>
      <c r="C24" s="103"/>
      <c r="D24" s="103">
        <f>IFERROR(INDEX(SJ!$1:$1048576,MATCH("Total",SJ!$A:$A,),MATCH($A24,SJ!$6:$6,)),0)</f>
        <v>0</v>
      </c>
      <c r="E24" s="103"/>
      <c r="F24" s="103">
        <f>IFERROR(INDEX(AP!$1:$1048576,MATCH("Total",AP!$A:$A,),MATCH($A24,AP!$6:$6,)),0)</f>
        <v>0</v>
      </c>
      <c r="G24" s="103">
        <f>IFERROR(INDEX(CD!$1:$1048576,MATCH("Total",CD!$A:$A,),MATCH($A24,CD!$6:$6,)),0)</f>
        <v>0</v>
      </c>
      <c r="H24" s="103">
        <f>IFERROR(INDEX('GJ-PCF'!$1:$1048576,MATCH("Total",'GJ-PCF'!$A:$A,),MATCH($A24,'GJ-PCF'!$6:$6,)),0)</f>
        <v>0</v>
      </c>
      <c r="I24" s="103">
        <f>SUMIF(GJ!C:C,A24,GJ!G:G)-SUMIF(GJ!C:C,A24,GJ!H:H)</f>
        <v>0</v>
      </c>
      <c r="J24" s="103">
        <f t="shared" si="0"/>
        <v>0</v>
      </c>
      <c r="K24" s="103">
        <f t="shared" si="1"/>
        <v>0</v>
      </c>
    </row>
    <row r="25" spans="1:11" s="104" customFormat="1">
      <c r="A25" s="101">
        <v>2203</v>
      </c>
      <c r="B25" s="102" t="s">
        <v>236</v>
      </c>
      <c r="C25" s="103"/>
      <c r="D25" s="103">
        <f>IFERROR(INDEX(SJ!$1:$1048576,MATCH("Total",SJ!$A:$A,),MATCH($A25,SJ!$6:$6,)),0)</f>
        <v>0</v>
      </c>
      <c r="E25" s="103"/>
      <c r="F25" s="103">
        <f>IFERROR(INDEX(AP!$1:$1048576,MATCH("Total",AP!$A:$A,),MATCH($A25,AP!$6:$6,)),0)</f>
        <v>0</v>
      </c>
      <c r="G25" s="103">
        <f>IFERROR(INDEX(CD!$1:$1048576,MATCH("Total",CD!$A:$A,),MATCH($A25,CD!$6:$6,)),0)</f>
        <v>0</v>
      </c>
      <c r="H25" s="103">
        <f>IFERROR(INDEX('GJ-PCF'!$1:$1048576,MATCH("Total",'GJ-PCF'!$A:$A,),MATCH($A25,'GJ-PCF'!$6:$6,)),0)</f>
        <v>0</v>
      </c>
      <c r="I25" s="103">
        <f>SUMIF(GJ!C:C,A25,GJ!G:G)-SUMIF(GJ!C:C,A25,GJ!H:H)</f>
        <v>0</v>
      </c>
      <c r="J25" s="103">
        <f t="shared" ref="J25:J28" si="2">SUM(D25:I25)</f>
        <v>0</v>
      </c>
      <c r="K25" s="103">
        <f t="shared" ref="K25:K28" si="3">+C25+J25</f>
        <v>0</v>
      </c>
    </row>
    <row r="26" spans="1:11" s="104" customFormat="1">
      <c r="A26" s="101">
        <v>2204</v>
      </c>
      <c r="B26" s="102" t="s">
        <v>78</v>
      </c>
      <c r="C26" s="103"/>
      <c r="D26" s="103">
        <f>IFERROR(INDEX(SJ!$1:$1048576,MATCH("Total",SJ!$A:$A,),MATCH($A26,SJ!$6:$6,)),0)</f>
        <v>-100874.70873085712</v>
      </c>
      <c r="E26" s="103"/>
      <c r="F26" s="103">
        <f>IFERROR(INDEX(AP!$1:$1048576,MATCH("Total",AP!$A:$A,),MATCH($A26,AP!$6:$6,)),0)</f>
        <v>0</v>
      </c>
      <c r="G26" s="103">
        <f>IFERROR(INDEX(CD!$1:$1048576,MATCH("Total",CD!$A:$A,),MATCH($A26,CD!$6:$6,)),0)</f>
        <v>0</v>
      </c>
      <c r="H26" s="103">
        <f>IFERROR(INDEX('GJ-PCF'!$1:$1048576,MATCH("Total",'GJ-PCF'!$A:$A,),MATCH($A26,'GJ-PCF'!$6:$6,)),0)</f>
        <v>0</v>
      </c>
      <c r="I26" s="103">
        <f>SUMIF(GJ!C:C,A26,GJ!G:G)-SUMIF(GJ!C:C,A26,GJ!H:H)</f>
        <v>0</v>
      </c>
      <c r="J26" s="103">
        <f t="shared" si="2"/>
        <v>-100874.70873085712</v>
      </c>
      <c r="K26" s="103">
        <f t="shared" si="3"/>
        <v>-100874.70873085712</v>
      </c>
    </row>
    <row r="27" spans="1:11" s="104" customFormat="1">
      <c r="A27" s="101">
        <v>2205</v>
      </c>
      <c r="B27" s="102" t="s">
        <v>237</v>
      </c>
      <c r="C27" s="103"/>
      <c r="D27" s="103">
        <f>IFERROR(INDEX(SJ!$1:$1048576,MATCH("Total",SJ!$A:$A,),MATCH($A27,SJ!$6:$6,)),0)</f>
        <v>0</v>
      </c>
      <c r="E27" s="103"/>
      <c r="F27" s="103">
        <f>IFERROR(INDEX(AP!$1:$1048576,MATCH("Total",AP!$A:$A,),MATCH($A27,AP!$6:$6,)),0)</f>
        <v>0</v>
      </c>
      <c r="G27" s="103">
        <f>IFERROR(INDEX(CD!$1:$1048576,MATCH("Total",CD!$A:$A,),MATCH($A27,CD!$6:$6,)),0)</f>
        <v>0</v>
      </c>
      <c r="H27" s="103">
        <f>IFERROR(INDEX('GJ-PCF'!$1:$1048576,MATCH("Total",'GJ-PCF'!$A:$A,),MATCH($A27,'GJ-PCF'!$6:$6,)),0)</f>
        <v>0</v>
      </c>
      <c r="I27" s="103">
        <f>SUMIF(GJ!C:C,A27,GJ!G:G)-SUMIF(GJ!C:C,A27,GJ!H:H)</f>
        <v>0</v>
      </c>
      <c r="J27" s="103">
        <f t="shared" si="2"/>
        <v>0</v>
      </c>
      <c r="K27" s="103">
        <f t="shared" si="3"/>
        <v>0</v>
      </c>
    </row>
    <row r="28" spans="1:11" s="104" customFormat="1">
      <c r="A28" s="101">
        <v>2206</v>
      </c>
      <c r="B28" s="102" t="s">
        <v>238</v>
      </c>
      <c r="C28" s="103"/>
      <c r="D28" s="103">
        <f>IFERROR(INDEX(SJ!$1:$1048576,MATCH("Total",SJ!$A:$A,),MATCH($A28,SJ!$6:$6,)),0)</f>
        <v>0</v>
      </c>
      <c r="E28" s="103"/>
      <c r="F28" s="103">
        <f>IFERROR(INDEX(AP!$1:$1048576,MATCH("Total",AP!$A:$A,),MATCH($A28,AP!$6:$6,)),0)</f>
        <v>0</v>
      </c>
      <c r="G28" s="103">
        <f>IFERROR(INDEX(CD!$1:$1048576,MATCH("Total",CD!$A:$A,),MATCH($A28,CD!$6:$6,)),0)</f>
        <v>0</v>
      </c>
      <c r="H28" s="103">
        <f>IFERROR(INDEX('GJ-PCF'!$1:$1048576,MATCH("Total",'GJ-PCF'!$A:$A,),MATCH($A28,'GJ-PCF'!$6:$6,)),0)</f>
        <v>0</v>
      </c>
      <c r="I28" s="103">
        <f>SUMIF(GJ!C:C,A28,GJ!G:G)-SUMIF(GJ!C:C,A28,GJ!H:H)</f>
        <v>0</v>
      </c>
      <c r="J28" s="103">
        <f t="shared" si="2"/>
        <v>0</v>
      </c>
      <c r="K28" s="103">
        <f t="shared" si="3"/>
        <v>0</v>
      </c>
    </row>
    <row r="29" spans="1:11">
      <c r="A29" s="29">
        <v>2300</v>
      </c>
      <c r="B29" s="14" t="s">
        <v>197</v>
      </c>
      <c r="C29" s="16"/>
      <c r="D29" s="16">
        <f>IFERROR(INDEX(SJ!$1:$1048576,MATCH("Total",SJ!$A:$A,),MATCH($A29,SJ!$6:$6,)),0)</f>
        <v>0</v>
      </c>
      <c r="E29" s="16"/>
      <c r="F29" s="16">
        <f>IFERROR(INDEX(AP!$1:$1048576,MATCH("Total",AP!$A:$A,),MATCH($A29,AP!$6:$6,)),0)</f>
        <v>0</v>
      </c>
      <c r="G29" s="16">
        <f>IFERROR(INDEX(CD!$1:$1048576,MATCH("Total",CD!$A:$A,),MATCH($A29,CD!$6:$6,)),0)</f>
        <v>0</v>
      </c>
      <c r="H29" s="16">
        <f>IFERROR(INDEX('GJ-PCF'!$1:$1048576,MATCH("Total",'GJ-PCF'!$A:$A,),MATCH($A29,'GJ-PCF'!$6:$6,)),0)</f>
        <v>0</v>
      </c>
      <c r="I29" s="16">
        <f>SUMIF(GJ!C:C,A29,GJ!G:G)-SUMIF(GJ!C:C,A29,GJ!H:H)</f>
        <v>-80585.466602564105</v>
      </c>
      <c r="J29" s="16">
        <f t="shared" ref="J29:J36" si="4">SUM(D29:I29)</f>
        <v>-80585.466602564105</v>
      </c>
      <c r="K29" s="16">
        <f t="shared" ref="K29:K36" si="5">+C29+J29</f>
        <v>-80585.466602564105</v>
      </c>
    </row>
    <row r="30" spans="1:11">
      <c r="A30" s="29">
        <v>2301</v>
      </c>
      <c r="B30" s="14" t="s">
        <v>192</v>
      </c>
      <c r="C30" s="16"/>
      <c r="D30" s="16">
        <f>IFERROR(INDEX(SJ!$1:$1048576,MATCH("Total",SJ!$A:$A,),MATCH($A30,SJ!$6:$6,)),0)</f>
        <v>0</v>
      </c>
      <c r="E30" s="16"/>
      <c r="F30" s="16">
        <f>IFERROR(INDEX(AP!$1:$1048576,MATCH("Total",AP!$A:$A,),MATCH($A30,AP!$6:$6,)),0)</f>
        <v>0</v>
      </c>
      <c r="G30" s="16">
        <f>IFERROR(INDEX(CD!$1:$1048576,MATCH("Total",CD!$A:$A,),MATCH($A30,CD!$6:$6,)),0)</f>
        <v>0</v>
      </c>
      <c r="H30" s="16">
        <f>IFERROR(INDEX('GJ-PCF'!$1:$1048576,MATCH("Total",'GJ-PCF'!$A:$A,),MATCH($A30,'GJ-PCF'!$6:$6,)),0)</f>
        <v>0</v>
      </c>
      <c r="I30" s="16">
        <f>SUMIF(GJ!C:C,A30,GJ!G:G)-SUMIF(GJ!C:C,A30,GJ!H:H)</f>
        <v>-10265</v>
      </c>
      <c r="J30" s="16">
        <f t="shared" si="4"/>
        <v>-10265</v>
      </c>
      <c r="K30" s="16">
        <f t="shared" si="5"/>
        <v>-10265</v>
      </c>
    </row>
    <row r="31" spans="1:11">
      <c r="A31" s="29">
        <v>2302</v>
      </c>
      <c r="B31" s="14" t="s">
        <v>193</v>
      </c>
      <c r="C31" s="16"/>
      <c r="D31" s="16">
        <f>IFERROR(INDEX(SJ!$1:$1048576,MATCH("Total",SJ!$A:$A,),MATCH($A31,SJ!$6:$6,)),0)</f>
        <v>0</v>
      </c>
      <c r="E31" s="16"/>
      <c r="F31" s="16">
        <f>IFERROR(INDEX(AP!$1:$1048576,MATCH("Total",AP!$A:$A,),MATCH($A31,AP!$6:$6,)),0)</f>
        <v>0</v>
      </c>
      <c r="G31" s="16">
        <f>IFERROR(INDEX(CD!$1:$1048576,MATCH("Total",CD!$A:$A,),MATCH($A31,CD!$6:$6,)),0)</f>
        <v>0</v>
      </c>
      <c r="H31" s="16">
        <f>IFERROR(INDEX('GJ-PCF'!$1:$1048576,MATCH("Total",'GJ-PCF'!$A:$A,),MATCH($A31,'GJ-PCF'!$6:$6,)),0)</f>
        <v>0</v>
      </c>
      <c r="I31" s="16">
        <f>SUMIF(GJ!C:C,A31,GJ!G:G)-SUMIF(GJ!C:C,A31,GJ!H:H)</f>
        <v>-6645.119999999999</v>
      </c>
      <c r="J31" s="16">
        <f t="shared" si="4"/>
        <v>-6645.119999999999</v>
      </c>
      <c r="K31" s="16">
        <f t="shared" si="5"/>
        <v>-6645.119999999999</v>
      </c>
    </row>
    <row r="32" spans="1:11">
      <c r="A32" s="29">
        <v>2303</v>
      </c>
      <c r="B32" s="14" t="s">
        <v>194</v>
      </c>
      <c r="C32" s="16"/>
      <c r="D32" s="16">
        <f>IFERROR(INDEX(SJ!$1:$1048576,MATCH("Total",SJ!$A:$A,),MATCH($A32,SJ!$6:$6,)),0)</f>
        <v>0</v>
      </c>
      <c r="E32" s="16"/>
      <c r="F32" s="16">
        <f>IFERROR(INDEX(AP!$1:$1048576,MATCH("Total",AP!$A:$A,),MATCH($A32,AP!$6:$6,)),0)</f>
        <v>0</v>
      </c>
      <c r="G32" s="16">
        <f>IFERROR(INDEX(CD!$1:$1048576,MATCH("Total",CD!$A:$A,),MATCH($A32,CD!$6:$6,)),0)</f>
        <v>0</v>
      </c>
      <c r="H32" s="16">
        <f>IFERROR(INDEX('GJ-PCF'!$1:$1048576,MATCH("Total",'GJ-PCF'!$A:$A,),MATCH($A32,'GJ-PCF'!$6:$6,)),0)</f>
        <v>0</v>
      </c>
      <c r="I32" s="16">
        <f>SUMIF(GJ!C:C,A32,GJ!G:G)-SUMIF(GJ!C:C,A32,GJ!H:H)</f>
        <v>-2690</v>
      </c>
      <c r="J32" s="16">
        <f t="shared" si="4"/>
        <v>-2690</v>
      </c>
      <c r="K32" s="16">
        <f t="shared" si="5"/>
        <v>-2690</v>
      </c>
    </row>
    <row r="33" spans="1:11">
      <c r="A33" s="29">
        <v>2304</v>
      </c>
      <c r="B33" s="14" t="s">
        <v>195</v>
      </c>
      <c r="C33" s="16"/>
      <c r="D33" s="16">
        <f>IFERROR(INDEX(SJ!$1:$1048576,MATCH("Total",SJ!$A:$A,),MATCH($A33,SJ!$6:$6,)),0)</f>
        <v>0</v>
      </c>
      <c r="E33" s="16"/>
      <c r="F33" s="16">
        <f>IFERROR(INDEX(AP!$1:$1048576,MATCH("Total",AP!$A:$A,),MATCH($A33,AP!$6:$6,)),0)</f>
        <v>0</v>
      </c>
      <c r="G33" s="16">
        <f>IFERROR(INDEX(CD!$1:$1048576,MATCH("Total",CD!$A:$A,),MATCH($A33,CD!$6:$6,)),0)</f>
        <v>0</v>
      </c>
      <c r="H33" s="16">
        <f>IFERROR(INDEX('GJ-PCF'!$1:$1048576,MATCH("Total",'GJ-PCF'!$A:$A,),MATCH($A33,'GJ-PCF'!$6:$6,)),0)</f>
        <v>0</v>
      </c>
      <c r="I33" s="16">
        <f>SUMIF(GJ!C:C,A33,GJ!G:G)-SUMIF(GJ!C:C,A33,GJ!H:H)</f>
        <v>-1400</v>
      </c>
      <c r="J33" s="16">
        <f t="shared" si="4"/>
        <v>-1400</v>
      </c>
      <c r="K33" s="16">
        <f t="shared" si="5"/>
        <v>-1400</v>
      </c>
    </row>
    <row r="34" spans="1:11">
      <c r="A34" s="29">
        <v>2305</v>
      </c>
      <c r="B34" s="14" t="s">
        <v>196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0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-6023.87</v>
      </c>
      <c r="J34" s="16">
        <f t="shared" si="4"/>
        <v>-6023.87</v>
      </c>
      <c r="K34" s="16">
        <f t="shared" si="5"/>
        <v>-6023.87</v>
      </c>
    </row>
    <row r="35" spans="1:11">
      <c r="A35" s="29">
        <v>2306</v>
      </c>
      <c r="B35" s="14" t="s">
        <v>200</v>
      </c>
      <c r="C35" s="16"/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0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-6277.4500000000007</v>
      </c>
      <c r="J35" s="16">
        <f t="shared" si="4"/>
        <v>-6277.4500000000007</v>
      </c>
      <c r="K35" s="16">
        <f t="shared" si="5"/>
        <v>-6277.4500000000007</v>
      </c>
    </row>
    <row r="36" spans="1:11">
      <c r="A36" s="29">
        <v>2401</v>
      </c>
      <c r="B36" s="14" t="s">
        <v>208</v>
      </c>
      <c r="C36" s="16"/>
      <c r="D36" s="16">
        <f>IFERROR(INDEX(SJ!$1:$1048576,MATCH("Total",SJ!$A:$A,),MATCH($A36,SJ!$6:$6,)),0)</f>
        <v>-47604.216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0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0</v>
      </c>
      <c r="J36" s="16">
        <f t="shared" si="4"/>
        <v>-47604.216</v>
      </c>
      <c r="K36" s="16">
        <f t="shared" si="5"/>
        <v>-47604.216</v>
      </c>
    </row>
    <row r="37" spans="1:11">
      <c r="A37" s="29">
        <v>2402</v>
      </c>
      <c r="B37" s="14" t="s">
        <v>209</v>
      </c>
      <c r="C37" s="16"/>
      <c r="D37" s="16">
        <f>IFERROR(INDEX(SJ!$1:$1048576,MATCH("Total",SJ!$A:$A,),MATCH($A37,SJ!$6:$6,)),0)</f>
        <v>-8400.7439999999988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0</v>
      </c>
      <c r="J37" s="16">
        <f t="shared" ref="J37:J43" si="6">SUM(D37:I37)</f>
        <v>-8400.7439999999988</v>
      </c>
      <c r="K37" s="16">
        <f t="shared" ref="K37:K43" si="7">+C37+J37</f>
        <v>-8400.7439999999988</v>
      </c>
    </row>
    <row r="38" spans="1:11">
      <c r="A38" s="29">
        <v>2403</v>
      </c>
      <c r="B38" s="14" t="s">
        <v>210</v>
      </c>
      <c r="C38" s="16"/>
      <c r="D38" s="16">
        <f>IFERROR(INDEX(SJ!$1:$1048576,MATCH("Total",SJ!$A:$A,),MATCH($A38,SJ!$6:$6,)),0)</f>
        <v>-14001.24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0</v>
      </c>
      <c r="J38" s="16">
        <f t="shared" si="6"/>
        <v>-14001.24</v>
      </c>
      <c r="K38" s="16">
        <f t="shared" si="7"/>
        <v>-14001.24</v>
      </c>
    </row>
    <row r="39" spans="1:11">
      <c r="A39" s="29">
        <v>3001</v>
      </c>
      <c r="B39" s="14" t="s">
        <v>216</v>
      </c>
      <c r="C39" s="16">
        <v>-250000</v>
      </c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0</v>
      </c>
      <c r="J39" s="16">
        <f t="shared" si="6"/>
        <v>0</v>
      </c>
      <c r="K39" s="16">
        <f t="shared" si="7"/>
        <v>-250000</v>
      </c>
    </row>
    <row r="40" spans="1:11">
      <c r="A40" s="29">
        <v>3002</v>
      </c>
      <c r="B40" s="14" t="s">
        <v>217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0</v>
      </c>
      <c r="J40" s="16">
        <f t="shared" si="6"/>
        <v>0</v>
      </c>
      <c r="K40" s="16">
        <f t="shared" si="7"/>
        <v>0</v>
      </c>
    </row>
    <row r="41" spans="1:11">
      <c r="A41" s="29">
        <v>3003</v>
      </c>
      <c r="B41" s="14" t="s">
        <v>218</v>
      </c>
      <c r="C41" s="16"/>
      <c r="D41" s="16">
        <f>IFERROR(INDEX(SJ!$1:$1048576,MATCH("Total",SJ!$A:$A,),MATCH($A41,SJ!$6:$6,)),0)</f>
        <v>0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0</v>
      </c>
      <c r="J41" s="16">
        <f t="shared" si="6"/>
        <v>0</v>
      </c>
      <c r="K41" s="16">
        <f t="shared" si="7"/>
        <v>0</v>
      </c>
    </row>
    <row r="42" spans="1:11">
      <c r="A42" s="29">
        <v>3004</v>
      </c>
      <c r="B42" s="14" t="s">
        <v>282</v>
      </c>
      <c r="C42" s="16">
        <f>-SUM(C8:C41)</f>
        <v>160161.02374017111</v>
      </c>
      <c r="D42" s="16">
        <f>IFERROR(INDEX(SJ!$1:$1048576,MATCH("Total",SJ!$A:$A,),MATCH($A42,SJ!$6:$6,)),0)</f>
        <v>0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-17346.543105519479</v>
      </c>
      <c r="J42" s="16">
        <f t="shared" ref="J42" si="8">SUM(D42:I42)</f>
        <v>-17346.543105519479</v>
      </c>
      <c r="K42" s="16">
        <f t="shared" ref="K42" si="9">+C42+J42</f>
        <v>142814.48063465161</v>
      </c>
    </row>
    <row r="43" spans="1:11">
      <c r="A43" s="29">
        <v>4001</v>
      </c>
      <c r="B43" s="14" t="s">
        <v>219</v>
      </c>
      <c r="C43" s="16"/>
      <c r="D43" s="16">
        <f>IFERROR(INDEX(SJ!$1:$1048576,MATCH("Total",SJ!$A:$A,),MATCH($A43,SJ!$6:$6,)),0)</f>
        <v>-851950.89418571419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6"/>
        <v>-851950.89418571419</v>
      </c>
      <c r="K43" s="16">
        <f t="shared" si="7"/>
        <v>-851950.89418571419</v>
      </c>
    </row>
    <row r="44" spans="1:11">
      <c r="A44" s="29">
        <v>4002</v>
      </c>
      <c r="B44" s="14" t="s">
        <v>220</v>
      </c>
      <c r="C44" s="16"/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>SUM(D44:I44)</f>
        <v>0</v>
      </c>
      <c r="K44" s="16">
        <f>+C44+J44</f>
        <v>0</v>
      </c>
    </row>
    <row r="45" spans="1:11">
      <c r="A45" s="29">
        <v>4003</v>
      </c>
      <c r="B45" s="14" t="s">
        <v>221</v>
      </c>
      <c r="C45" s="16"/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ref="J45:J50" si="10">SUM(D45:I45)</f>
        <v>0</v>
      </c>
      <c r="K45" s="16">
        <f t="shared" ref="K45:K50" si="11">+C45+J45</f>
        <v>0</v>
      </c>
    </row>
    <row r="46" spans="1:11">
      <c r="A46" s="29">
        <v>4101</v>
      </c>
      <c r="B46" s="14" t="s">
        <v>231</v>
      </c>
      <c r="C46" s="16"/>
      <c r="D46" s="16">
        <f>IFERROR(INDEX(SJ!$1:$1048576,MATCH("Total",SJ!$A:$A,),MATCH($A46,SJ!$6:$6,)),0)</f>
        <v>4547.7232142857138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ref="J46:J49" si="12">SUM(D46:I46)</f>
        <v>4547.7232142857138</v>
      </c>
      <c r="K46" s="16">
        <f t="shared" ref="K46:K49" si="13">+C46+J46</f>
        <v>4547.7232142857138</v>
      </c>
    </row>
    <row r="47" spans="1:11">
      <c r="A47" s="29">
        <v>4102</v>
      </c>
      <c r="B47" s="14" t="s">
        <v>232</v>
      </c>
      <c r="C47" s="16"/>
      <c r="D47" s="16">
        <f>IFERROR(INDEX(SJ!$1:$1048576,MATCH("Total",SJ!$A:$A,),MATCH($A47,SJ!$6:$6,)),0)</f>
        <v>88.839285714285708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0</v>
      </c>
      <c r="J47" s="16">
        <f t="shared" si="12"/>
        <v>88.839285714285708</v>
      </c>
      <c r="K47" s="16">
        <f t="shared" si="13"/>
        <v>88.839285714285708</v>
      </c>
    </row>
    <row r="48" spans="1:11">
      <c r="A48" s="29">
        <v>4103</v>
      </c>
      <c r="B48" s="14" t="s">
        <v>233</v>
      </c>
      <c r="C48" s="16"/>
      <c r="D48" s="16">
        <f>IFERROR(INDEX(SJ!$1:$1048576,MATCH("Total",SJ!$A:$A,),MATCH($A48,SJ!$6:$6,)),0)</f>
        <v>37.946428571428569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2"/>
        <v>37.946428571428569</v>
      </c>
      <c r="K48" s="16">
        <f t="shared" si="13"/>
        <v>37.946428571428569</v>
      </c>
    </row>
    <row r="49" spans="1:11">
      <c r="A49" s="29">
        <v>4104</v>
      </c>
      <c r="B49" s="14" t="s">
        <v>234</v>
      </c>
      <c r="C49" s="16"/>
      <c r="D49" s="16">
        <f>IFERROR(INDEX(SJ!$1:$1048576,MATCH("Total",SJ!$A:$A,),MATCH($A49,SJ!$6:$6,)),0)</f>
        <v>6653.8124999999991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 t="shared" si="12"/>
        <v>6653.8124999999991</v>
      </c>
      <c r="K49" s="16">
        <f t="shared" si="13"/>
        <v>6653.8124999999991</v>
      </c>
    </row>
    <row r="50" spans="1:11">
      <c r="A50" s="29">
        <v>4901</v>
      </c>
      <c r="B50" s="14" t="s">
        <v>222</v>
      </c>
      <c r="C50" s="16"/>
      <c r="D50" s="16">
        <f>IFERROR(INDEX(SJ!$1:$1048576,MATCH("Total",SJ!$A:$A,),MATCH($A50,SJ!$6:$6,)),0)</f>
        <v>-68.890000000000782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si="10"/>
        <v>-68.890000000000782</v>
      </c>
      <c r="K50" s="16">
        <f t="shared" si="11"/>
        <v>-68.890000000000782</v>
      </c>
    </row>
    <row r="51" spans="1:11">
      <c r="A51" s="29">
        <v>4999</v>
      </c>
      <c r="B51" s="14" t="s">
        <v>263</v>
      </c>
      <c r="C51" s="16"/>
      <c r="D51" s="16">
        <f>IFERROR(INDEX(SJ!$1:$1048576,MATCH("Total",SJ!$A:$A,),MATCH($A51,SJ!$6:$6,)),0)</f>
        <v>0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-97.02</v>
      </c>
      <c r="J51" s="16">
        <f t="shared" ref="J51" si="14">SUM(D51:I51)</f>
        <v>-97.02</v>
      </c>
      <c r="K51" s="16">
        <f t="shared" ref="K51" si="15">+C51+J51</f>
        <v>-97.02</v>
      </c>
    </row>
    <row r="52" spans="1:11">
      <c r="A52" s="29">
        <v>5001</v>
      </c>
      <c r="B52" s="14" t="s">
        <v>141</v>
      </c>
      <c r="C52" s="16"/>
      <c r="D52" s="16">
        <f>IFERROR(INDEX(SJ!$1:$1048576,MATCH("Total",SJ!$A:$A,),MATCH($A52,SJ!$6:$6,)),0)</f>
        <v>0</v>
      </c>
      <c r="E52" s="16"/>
      <c r="F52" s="16">
        <f>IFERROR(INDEX(AP!$1:$1048576,MATCH("Total",AP!$A:$A,),MATCH($A52,AP!$6:$6,)),0)</f>
        <v>142833.1464285714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32618.21</v>
      </c>
      <c r="I52" s="16">
        <f>SUMIF(GJ!C:C,A52,GJ!G:G)-SUMIF(GJ!C:C,A52,GJ!H:H)</f>
        <v>0</v>
      </c>
      <c r="J52" s="16">
        <f t="shared" ref="J52:J62" si="16">SUM(D52:I52)</f>
        <v>175451.35642857139</v>
      </c>
      <c r="K52" s="16">
        <f t="shared" ref="K52:K62" si="17">+C52+J52</f>
        <v>175451.35642857139</v>
      </c>
    </row>
    <row r="53" spans="1:11">
      <c r="A53" s="29" t="s">
        <v>203</v>
      </c>
      <c r="B53" s="14" t="s">
        <v>205</v>
      </c>
      <c r="C53" s="16"/>
      <c r="D53" s="16">
        <f>IFERROR(INDEX(SJ!$1:$1048576,MATCH("Total",SJ!$A:$A,),MATCH($A53,SJ!$6:$6,)),0)</f>
        <v>0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-4007.2508499999994</v>
      </c>
      <c r="J53" s="16">
        <f t="shared" si="16"/>
        <v>-4007.2508499999994</v>
      </c>
      <c r="K53" s="16">
        <f t="shared" si="17"/>
        <v>-4007.2508499999994</v>
      </c>
    </row>
    <row r="54" spans="1:11">
      <c r="A54" s="29">
        <v>5002</v>
      </c>
      <c r="B54" s="14" t="s">
        <v>142</v>
      </c>
      <c r="C54" s="16"/>
      <c r="D54" s="16">
        <f>IFERROR(INDEX(SJ!$1:$1048576,MATCH("Total",SJ!$A:$A,),MATCH($A54,SJ!$6:$6,)),0)</f>
        <v>0</v>
      </c>
      <c r="E54" s="16"/>
      <c r="F54" s="16">
        <f>IFERROR(INDEX(AP!$1:$1048576,MATCH("Total",AP!$A:$A,),MATCH($A54,AP!$6:$6,)),0)</f>
        <v>18467.589285714283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4025.9899999999993</v>
      </c>
      <c r="I54" s="16">
        <f>SUMIF(GJ!C:C,A54,GJ!G:G)-SUMIF(GJ!C:C,A54,GJ!H:H)</f>
        <v>0</v>
      </c>
      <c r="J54" s="16">
        <f t="shared" si="16"/>
        <v>22493.579285714281</v>
      </c>
      <c r="K54" s="16">
        <f t="shared" si="17"/>
        <v>22493.579285714281</v>
      </c>
    </row>
    <row r="55" spans="1:11">
      <c r="A55" s="29" t="s">
        <v>204</v>
      </c>
      <c r="B55" s="14" t="s">
        <v>206</v>
      </c>
      <c r="C55" s="16"/>
      <c r="D55" s="16">
        <f>IFERROR(INDEX(SJ!$1:$1048576,MATCH("Total",SJ!$A:$A,),MATCH($A55,SJ!$6:$6,)),0)</f>
        <v>0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-773.755</v>
      </c>
      <c r="J55" s="16">
        <f t="shared" si="16"/>
        <v>-773.755</v>
      </c>
      <c r="K55" s="16">
        <f t="shared" si="17"/>
        <v>-773.755</v>
      </c>
    </row>
    <row r="56" spans="1:11">
      <c r="A56" s="29">
        <v>5003</v>
      </c>
      <c r="B56" s="14" t="s">
        <v>266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-3794.58</v>
      </c>
      <c r="J56" s="16">
        <f t="shared" si="16"/>
        <v>-3794.58</v>
      </c>
      <c r="K56" s="16">
        <f t="shared" si="17"/>
        <v>-3794.58</v>
      </c>
    </row>
    <row r="57" spans="1:11">
      <c r="A57" s="29">
        <v>5101</v>
      </c>
      <c r="B57" s="14" t="s">
        <v>158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13948.294642857141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0</v>
      </c>
      <c r="I57" s="16">
        <f>SUMIF(GJ!C:C,A57,GJ!G:G)-SUMIF(GJ!C:C,A57,GJ!H:H)</f>
        <v>0</v>
      </c>
      <c r="J57" s="16">
        <f t="shared" si="16"/>
        <v>13948.294642857141</v>
      </c>
      <c r="K57" s="16">
        <f t="shared" si="17"/>
        <v>13948.294642857141</v>
      </c>
    </row>
    <row r="58" spans="1:11">
      <c r="A58" s="29">
        <v>6101</v>
      </c>
      <c r="B58" s="14" t="s">
        <v>173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4768</v>
      </c>
      <c r="I58" s="16">
        <f>SUMIF(GJ!C:C,A58,GJ!G:G)-SUMIF(GJ!C:C,A58,GJ!H:H)</f>
        <v>97377.565256410249</v>
      </c>
      <c r="J58" s="16">
        <f t="shared" si="16"/>
        <v>102145.56525641025</v>
      </c>
      <c r="K58" s="16">
        <f t="shared" si="17"/>
        <v>102145.56525641025</v>
      </c>
    </row>
    <row r="59" spans="1:11">
      <c r="A59" s="29">
        <v>6102</v>
      </c>
      <c r="B59" s="14" t="s">
        <v>184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0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0</v>
      </c>
      <c r="I59" s="16">
        <f>SUMIF(GJ!C:C,A59,GJ!G:G)-SUMIF(GJ!C:C,A59,GJ!H:H)</f>
        <v>7736</v>
      </c>
      <c r="J59" s="16">
        <f t="shared" si="16"/>
        <v>7736</v>
      </c>
      <c r="K59" s="16">
        <f t="shared" si="17"/>
        <v>7736</v>
      </c>
    </row>
    <row r="60" spans="1:11">
      <c r="A60" s="29">
        <v>6103</v>
      </c>
      <c r="B60" s="14" t="s">
        <v>185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1024.3413461538462</v>
      </c>
      <c r="J60" s="16">
        <f t="shared" si="16"/>
        <v>1024.3413461538462</v>
      </c>
      <c r="K60" s="16">
        <f t="shared" si="17"/>
        <v>1024.3413461538462</v>
      </c>
    </row>
    <row r="61" spans="1:11">
      <c r="A61" s="29">
        <v>6104</v>
      </c>
      <c r="B61" s="14" t="s">
        <v>186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0</v>
      </c>
      <c r="J61" s="16">
        <f t="shared" si="16"/>
        <v>0</v>
      </c>
      <c r="K61" s="16">
        <f t="shared" si="17"/>
        <v>0</v>
      </c>
    </row>
    <row r="62" spans="1:11">
      <c r="A62" s="29">
        <v>6105</v>
      </c>
      <c r="B62" s="14" t="s">
        <v>187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0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16"/>
        <v>0</v>
      </c>
      <c r="K62" s="16">
        <f t="shared" si="17"/>
        <v>0</v>
      </c>
    </row>
    <row r="63" spans="1:11">
      <c r="A63" s="29">
        <v>6106</v>
      </c>
      <c r="B63" s="14" t="s">
        <v>211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0</v>
      </c>
      <c r="I63" s="16">
        <f>SUMIF(GJ!C:C,A63,GJ!G:G)-SUMIF(GJ!C:C,A63,GJ!H:H)</f>
        <v>6904.2</v>
      </c>
      <c r="J63" s="16">
        <f t="shared" ref="J63:J65" si="18">SUM(D63:I63)</f>
        <v>6904.2</v>
      </c>
      <c r="K63" s="16">
        <f t="shared" ref="K63:K65" si="19">+C63+J63</f>
        <v>6904.2</v>
      </c>
    </row>
    <row r="64" spans="1:11">
      <c r="A64" s="29">
        <v>6107</v>
      </c>
      <c r="B64" s="14" t="s">
        <v>212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1345</v>
      </c>
      <c r="J64" s="16">
        <f t="shared" si="18"/>
        <v>1345</v>
      </c>
      <c r="K64" s="16">
        <f t="shared" si="19"/>
        <v>1345</v>
      </c>
    </row>
    <row r="65" spans="1:11">
      <c r="A65" s="29">
        <v>6108</v>
      </c>
      <c r="B65" s="14" t="s">
        <v>213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700</v>
      </c>
      <c r="J65" s="16">
        <f t="shared" si="18"/>
        <v>700</v>
      </c>
      <c r="K65" s="16">
        <f t="shared" si="19"/>
        <v>700</v>
      </c>
    </row>
    <row r="66" spans="1:11">
      <c r="A66" s="29">
        <v>6109</v>
      </c>
      <c r="B66" s="14" t="s">
        <v>149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10375.250000000002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0</v>
      </c>
      <c r="I66" s="16">
        <f>SUMIF(GJ!C:C,A66,GJ!G:G)-SUMIF(GJ!C:C,A66,GJ!H:H)</f>
        <v>0</v>
      </c>
      <c r="J66" s="16">
        <f t="shared" ref="J66:J94" si="20">SUM(D66:I66)</f>
        <v>10375.250000000002</v>
      </c>
      <c r="K66" s="16">
        <f t="shared" ref="K66:K94" si="21">+C66+J66</f>
        <v>10375.250000000002</v>
      </c>
    </row>
    <row r="67" spans="1:11">
      <c r="A67" s="29">
        <v>6110</v>
      </c>
      <c r="B67" s="14" t="s">
        <v>37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30170.17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0"/>
        <v>30170.17</v>
      </c>
      <c r="K67" s="16">
        <f t="shared" si="21"/>
        <v>30170.17</v>
      </c>
    </row>
    <row r="68" spans="1:11">
      <c r="A68" s="29">
        <v>6200</v>
      </c>
      <c r="B68" s="14" t="s">
        <v>265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3030</v>
      </c>
      <c r="J68" s="16">
        <f t="shared" si="20"/>
        <v>3030</v>
      </c>
      <c r="K68" s="16">
        <f t="shared" si="21"/>
        <v>3030</v>
      </c>
    </row>
    <row r="69" spans="1:11">
      <c r="A69" s="29">
        <v>6201</v>
      </c>
      <c r="B69" s="14" t="s">
        <v>30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168501.07142857142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0"/>
        <v>168501.07142857142</v>
      </c>
      <c r="K69" s="16">
        <f t="shared" si="21"/>
        <v>168501.07142857142</v>
      </c>
    </row>
    <row r="70" spans="1:11">
      <c r="A70" s="29">
        <v>6202</v>
      </c>
      <c r="B70" s="14" t="s">
        <v>32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2999.9999999999995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0"/>
        <v>2999.9999999999995</v>
      </c>
      <c r="K70" s="16">
        <f t="shared" si="21"/>
        <v>2999.9999999999995</v>
      </c>
    </row>
    <row r="71" spans="1:11">
      <c r="A71" s="29">
        <v>6204</v>
      </c>
      <c r="B71" s="14" t="s">
        <v>155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0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si="20"/>
        <v>0</v>
      </c>
      <c r="K71" s="16">
        <f t="shared" si="21"/>
        <v>0</v>
      </c>
    </row>
    <row r="72" spans="1:11">
      <c r="A72" s="29">
        <v>6211</v>
      </c>
      <c r="B72" s="14" t="s">
        <v>157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0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178.13</v>
      </c>
      <c r="I72" s="16">
        <f>SUMIF(GJ!C:C,A72,GJ!G:G)-SUMIF(GJ!C:C,A72,GJ!H:H)</f>
        <v>0</v>
      </c>
      <c r="J72" s="16">
        <f t="shared" si="20"/>
        <v>178.13</v>
      </c>
      <c r="K72" s="16">
        <f t="shared" si="21"/>
        <v>178.13</v>
      </c>
    </row>
    <row r="73" spans="1:11">
      <c r="A73" s="29">
        <v>6212</v>
      </c>
      <c r="B73" s="14" t="s">
        <v>143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1513.3928571428571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804.92000000000007</v>
      </c>
      <c r="I73" s="16">
        <f>SUMIF(GJ!C:C,A73,GJ!G:G)-SUMIF(GJ!C:C,A73,GJ!H:H)</f>
        <v>3233.3600000000006</v>
      </c>
      <c r="J73" s="16">
        <f t="shared" si="20"/>
        <v>5551.6728571428575</v>
      </c>
      <c r="K73" s="16">
        <f t="shared" si="21"/>
        <v>5551.6728571428575</v>
      </c>
    </row>
    <row r="74" spans="1:11">
      <c r="A74" s="29">
        <v>6214</v>
      </c>
      <c r="B74" s="14" t="s">
        <v>144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0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0"/>
        <v>0</v>
      </c>
      <c r="K74" s="16">
        <f t="shared" si="21"/>
        <v>0</v>
      </c>
    </row>
    <row r="75" spans="1:11">
      <c r="A75" s="29">
        <v>6217</v>
      </c>
      <c r="B75" s="14" t="s">
        <v>145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941.96428571428567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0</v>
      </c>
      <c r="I75" s="16">
        <f>SUMIF(GJ!C:C,A75,GJ!G:G)-SUMIF(GJ!C:C,A75,GJ!H:H)</f>
        <v>0</v>
      </c>
      <c r="J75" s="16">
        <f t="shared" si="20"/>
        <v>941.96428571428567</v>
      </c>
      <c r="K75" s="16">
        <f t="shared" si="21"/>
        <v>941.96428571428567</v>
      </c>
    </row>
    <row r="76" spans="1:11">
      <c r="A76" s="29">
        <v>6218</v>
      </c>
      <c r="B76" s="14" t="s">
        <v>156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1607.1428571428569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-1473.42</v>
      </c>
      <c r="J76" s="16">
        <f t="shared" si="20"/>
        <v>133.72285714285681</v>
      </c>
      <c r="K76" s="16">
        <f t="shared" si="21"/>
        <v>133.72285714285681</v>
      </c>
    </row>
    <row r="77" spans="1:11">
      <c r="A77" s="29">
        <v>6219</v>
      </c>
      <c r="B77" s="14" t="s">
        <v>146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876.16964285714278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517.86</v>
      </c>
      <c r="I77" s="16">
        <f>SUMIF(GJ!C:C,A77,GJ!G:G)-SUMIF(GJ!C:C,A77,GJ!H:H)</f>
        <v>353.34000000000003</v>
      </c>
      <c r="J77" s="16">
        <f t="shared" si="20"/>
        <v>1747.3696428571429</v>
      </c>
      <c r="K77" s="16">
        <f t="shared" si="21"/>
        <v>1747.3696428571429</v>
      </c>
    </row>
    <row r="78" spans="1:11">
      <c r="A78" s="29">
        <v>6220</v>
      </c>
      <c r="B78" s="14" t="s">
        <v>147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12364.285714285714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321.88</v>
      </c>
      <c r="I78" s="16">
        <f>SUMIF(GJ!C:C,A78,GJ!G:G)-SUMIF(GJ!C:C,A78,GJ!H:H)</f>
        <v>-5066.2100000000009</v>
      </c>
      <c r="J78" s="16">
        <f t="shared" si="20"/>
        <v>7619.955714285712</v>
      </c>
      <c r="K78" s="16">
        <f t="shared" si="21"/>
        <v>7619.955714285712</v>
      </c>
    </row>
    <row r="79" spans="1:11">
      <c r="A79" s="29">
        <v>6223</v>
      </c>
      <c r="B79" s="14" t="s">
        <v>171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1397.1</v>
      </c>
      <c r="I79" s="16">
        <f>SUMIF(GJ!C:C,A79,GJ!G:G)-SUMIF(GJ!C:C,A79,GJ!H:H)</f>
        <v>0</v>
      </c>
      <c r="J79" s="16">
        <f t="shared" si="20"/>
        <v>1397.1</v>
      </c>
      <c r="K79" s="16">
        <f t="shared" si="21"/>
        <v>1397.1</v>
      </c>
    </row>
    <row r="80" spans="1:11">
      <c r="A80" s="29">
        <v>6229</v>
      </c>
      <c r="B80" s="14" t="s">
        <v>148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0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0</v>
      </c>
      <c r="I80" s="16">
        <f>SUMIF(GJ!C:C,A80,GJ!G:G)-SUMIF(GJ!C:C,A80,GJ!H:H)</f>
        <v>281.45</v>
      </c>
      <c r="J80" s="16">
        <f t="shared" si="20"/>
        <v>281.45</v>
      </c>
      <c r="K80" s="16">
        <f t="shared" si="21"/>
        <v>281.45</v>
      </c>
    </row>
    <row r="81" spans="1:11">
      <c r="A81" s="29">
        <v>6230</v>
      </c>
      <c r="B81" s="14" t="s">
        <v>169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1770</v>
      </c>
      <c r="I81" s="16">
        <f>SUMIF(GJ!C:C,A81,GJ!G:G)-SUMIF(GJ!C:C,A81,GJ!H:H)</f>
        <v>0</v>
      </c>
      <c r="J81" s="16">
        <f t="shared" si="20"/>
        <v>1770</v>
      </c>
      <c r="K81" s="16">
        <f t="shared" si="21"/>
        <v>1770</v>
      </c>
    </row>
    <row r="82" spans="1:11">
      <c r="A82" s="29">
        <v>6231</v>
      </c>
      <c r="B82" s="14" t="s">
        <v>172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0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202.91000000000003</v>
      </c>
      <c r="I82" s="16">
        <f>SUMIF(GJ!C:C,A82,GJ!G:G)-SUMIF(GJ!C:C,A82,GJ!H:H)</f>
        <v>0</v>
      </c>
      <c r="J82" s="16">
        <f t="shared" si="20"/>
        <v>202.91000000000003</v>
      </c>
      <c r="K82" s="16">
        <f t="shared" si="21"/>
        <v>202.91000000000003</v>
      </c>
    </row>
    <row r="83" spans="1:11">
      <c r="A83" s="29">
        <v>6232</v>
      </c>
      <c r="B83" s="14" t="s">
        <v>170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0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0</v>
      </c>
      <c r="I83" s="16">
        <f>SUMIF(GJ!C:C,A83,GJ!G:G)-SUMIF(GJ!C:C,A83,GJ!H:H)</f>
        <v>0</v>
      </c>
      <c r="J83" s="16">
        <f t="shared" si="20"/>
        <v>0</v>
      </c>
      <c r="K83" s="16">
        <f t="shared" si="21"/>
        <v>0</v>
      </c>
    </row>
    <row r="84" spans="1:11">
      <c r="A84" s="29">
        <v>6234</v>
      </c>
      <c r="B84" s="14" t="s">
        <v>31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0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0"/>
        <v>0</v>
      </c>
      <c r="K84" s="16">
        <f t="shared" si="21"/>
        <v>0</v>
      </c>
    </row>
    <row r="85" spans="1:11">
      <c r="A85" s="29">
        <v>6308</v>
      </c>
      <c r="B85" s="14" t="s">
        <v>150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0</v>
      </c>
      <c r="J85" s="16">
        <f t="shared" si="20"/>
        <v>0</v>
      </c>
      <c r="K85" s="16">
        <f t="shared" si="21"/>
        <v>0</v>
      </c>
    </row>
    <row r="86" spans="1:11">
      <c r="A86" s="29">
        <v>6312</v>
      </c>
      <c r="B86" s="14" t="s">
        <v>151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0</v>
      </c>
      <c r="I86" s="16">
        <f>SUMIF(GJ!C:C,A86,GJ!G:G)-SUMIF(GJ!C:C,A86,GJ!H:H)</f>
        <v>0</v>
      </c>
      <c r="J86" s="16">
        <f t="shared" si="20"/>
        <v>0</v>
      </c>
      <c r="K86" s="16">
        <f t="shared" si="21"/>
        <v>0</v>
      </c>
    </row>
    <row r="87" spans="1:11">
      <c r="A87" s="29">
        <v>6313</v>
      </c>
      <c r="B87" s="14" t="s">
        <v>152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0"/>
        <v>0</v>
      </c>
      <c r="K87" s="16">
        <f t="shared" si="21"/>
        <v>0</v>
      </c>
    </row>
    <row r="88" spans="1:11">
      <c r="A88" s="29">
        <v>6315</v>
      </c>
      <c r="B88" s="14" t="s">
        <v>153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0"/>
        <v>0</v>
      </c>
      <c r="K88" s="16">
        <f t="shared" si="21"/>
        <v>0</v>
      </c>
    </row>
    <row r="89" spans="1:11">
      <c r="A89" s="29">
        <v>6316</v>
      </c>
      <c r="B89" s="14" t="s">
        <v>154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0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0"/>
        <v>0</v>
      </c>
      <c r="K89" s="16">
        <f t="shared" si="21"/>
        <v>0</v>
      </c>
    </row>
    <row r="90" spans="1:11">
      <c r="A90" s="29">
        <v>6317</v>
      </c>
      <c r="B90" s="14" t="s">
        <v>174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723</v>
      </c>
      <c r="J90" s="16">
        <f t="shared" si="20"/>
        <v>723</v>
      </c>
      <c r="K90" s="16">
        <f t="shared" si="21"/>
        <v>723</v>
      </c>
    </row>
    <row r="91" spans="1:11">
      <c r="A91" s="29">
        <v>6318</v>
      </c>
      <c r="B91" s="14" t="s">
        <v>227</v>
      </c>
      <c r="C91" s="16"/>
      <c r="D91" s="16">
        <f>IFERROR(INDEX(SJ!$1:$1048576,MATCH("Total",SJ!$A:$A,),MATCH($A91,SJ!$6:$6,)),0)</f>
        <v>5590.6910099999986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0"/>
        <v>5590.6910099999986</v>
      </c>
      <c r="K91" s="16">
        <f t="shared" si="21"/>
        <v>5590.6910099999986</v>
      </c>
    </row>
    <row r="92" spans="1:11">
      <c r="A92" s="29">
        <v>6401</v>
      </c>
      <c r="B92" s="14" t="s">
        <v>36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25462.330357142855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0"/>
        <v>25462.330357142855</v>
      </c>
      <c r="K92" s="16">
        <f t="shared" si="21"/>
        <v>25462.330357142855</v>
      </c>
    </row>
    <row r="93" spans="1:11">
      <c r="A93" s="29">
        <v>6402</v>
      </c>
      <c r="B93" s="14" t="s">
        <v>33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14999.999999999998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0"/>
        <v>14999.999999999998</v>
      </c>
      <c r="K93" s="16">
        <f t="shared" si="21"/>
        <v>14999.999999999998</v>
      </c>
    </row>
    <row r="94" spans="1:11">
      <c r="A94" s="29">
        <v>6901</v>
      </c>
      <c r="B94" s="14" t="s">
        <v>207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4781.0058499999996</v>
      </c>
      <c r="J94" s="16">
        <f t="shared" si="20"/>
        <v>4781.0058499999996</v>
      </c>
      <c r="K94" s="16">
        <f t="shared" si="21"/>
        <v>4781.0058499999996</v>
      </c>
    </row>
    <row r="95" spans="1:11">
      <c r="A95" s="29">
        <v>6902</v>
      </c>
      <c r="B95" s="14" t="s">
        <v>215</v>
      </c>
      <c r="C95" s="16"/>
      <c r="D95" s="16">
        <f>IFERROR(INDEX(SJ!$1:$1048576,MATCH("Total",SJ!$A:$A,),MATCH($A95,SJ!$6:$6,)),0)</f>
        <v>10.460000000001855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ref="J95" si="22">SUM(D95:I95)</f>
        <v>10.460000000001855</v>
      </c>
      <c r="K95" s="16">
        <f t="shared" ref="K95" si="23">+C95+J95</f>
        <v>10.460000000001855</v>
      </c>
    </row>
    <row r="96" spans="1:11">
      <c r="A96" s="29">
        <v>6999</v>
      </c>
      <c r="B96" s="14" t="s">
        <v>175</v>
      </c>
      <c r="C96" s="16"/>
      <c r="D96" s="16">
        <f>IFERROR(INDEX(SJ!$1:$1048576,MATCH("Total",SJ!$A:$A,),MATCH($A96,SJ!$6:$6,)),0)</f>
        <v>0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2344.31</v>
      </c>
      <c r="I96" s="16">
        <f>SUMIF(GJ!C:C,A96,GJ!G:G)-SUMIF(GJ!C:C,A96,GJ!H:H)</f>
        <v>0</v>
      </c>
      <c r="J96" s="16">
        <f>SUM(D96:I96)</f>
        <v>2344.31</v>
      </c>
      <c r="K96" s="16">
        <f>+C96+J96</f>
        <v>2344.31</v>
      </c>
    </row>
    <row r="97" spans="1:11">
      <c r="A97" s="29"/>
      <c r="B97" s="14"/>
      <c r="C97" s="16"/>
      <c r="D97" s="16"/>
      <c r="E97" s="16"/>
      <c r="F97" s="16"/>
      <c r="G97" s="16"/>
      <c r="H97" s="16"/>
      <c r="I97" s="16"/>
      <c r="J97" s="16"/>
      <c r="K97" s="16"/>
    </row>
    <row r="99" spans="1:11">
      <c r="A99" s="1" t="s">
        <v>15</v>
      </c>
      <c r="B99" s="1"/>
      <c r="C99" s="30">
        <f t="shared" ref="C99:I99" si="24">SUM(C6:C98)</f>
        <v>0</v>
      </c>
      <c r="D99" s="30">
        <f t="shared" si="24"/>
        <v>6745.8785120002476</v>
      </c>
      <c r="E99" s="30">
        <f t="shared" si="24"/>
        <v>0</v>
      </c>
      <c r="F99" s="30">
        <f t="shared" si="24"/>
        <v>-3.092281986027956E-11</v>
      </c>
      <c r="G99" s="30">
        <f t="shared" si="24"/>
        <v>0</v>
      </c>
      <c r="H99" s="30">
        <f t="shared" si="24"/>
        <v>1.5006662579253316E-11</v>
      </c>
      <c r="I99" s="30">
        <f t="shared" si="24"/>
        <v>-1.8189894035458565E-12</v>
      </c>
      <c r="J99" s="30">
        <f t="shared" ref="J99:K99" si="25">SUM(J6:J98)</f>
        <v>6745.878512000063</v>
      </c>
      <c r="K99" s="30">
        <f t="shared" si="25"/>
        <v>6745.8785119998302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2"/>
  <sheetViews>
    <sheetView topLeftCell="B1" workbookViewId="0">
      <selection activeCell="B4" sqref="B4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7">
      <c r="B1" s="108" t="s">
        <v>0</v>
      </c>
    </row>
    <row r="2" spans="1:7">
      <c r="B2" s="108" t="s">
        <v>1</v>
      </c>
    </row>
    <row r="3" spans="1:7">
      <c r="B3" s="108" t="s">
        <v>240</v>
      </c>
    </row>
    <row r="4" spans="1:7">
      <c r="B4" s="108" t="s">
        <v>241</v>
      </c>
    </row>
    <row r="7" spans="1:7">
      <c r="B7" s="108" t="s">
        <v>242</v>
      </c>
    </row>
    <row r="8" spans="1:7">
      <c r="B8" s="115" t="s">
        <v>243</v>
      </c>
    </row>
    <row r="9" spans="1:7">
      <c r="A9" s="109">
        <v>1101</v>
      </c>
      <c r="B9" s="114" t="s">
        <v>21</v>
      </c>
      <c r="G9" s="78">
        <f>SUMIF(WTB!A:A,A9,WTB!K:K)</f>
        <v>631510.65</v>
      </c>
    </row>
    <row r="10" spans="1:7">
      <c r="A10" s="109">
        <v>1111</v>
      </c>
      <c r="B10" s="114" t="s">
        <v>52</v>
      </c>
      <c r="G10" s="78">
        <f>SUMIF(WTB!A:A,A10,WTB!K:K)</f>
        <v>-51761.314642857127</v>
      </c>
    </row>
    <row r="11" spans="1:7">
      <c r="A11" s="109">
        <v>1250</v>
      </c>
      <c r="B11" s="114" t="s">
        <v>198</v>
      </c>
      <c r="G11" s="78">
        <f>SUMIF(WTB!A:A,A11,WTB!K:K)</f>
        <v>-1061.6000000000001</v>
      </c>
    </row>
    <row r="12" spans="1:7">
      <c r="A12" s="109">
        <v>1301</v>
      </c>
      <c r="B12" s="114" t="s">
        <v>223</v>
      </c>
      <c r="G12" s="78">
        <f>SUMIF(WTB!A:A,A12,WTB!K:K)</f>
        <v>0</v>
      </c>
    </row>
    <row r="13" spans="1:7">
      <c r="A13" s="109">
        <v>1302</v>
      </c>
      <c r="B13" s="114" t="s">
        <v>224</v>
      </c>
      <c r="G13" s="78">
        <f>SUMIF(WTB!A:A,A13,WTB!K:K)</f>
        <v>253141.28829000008</v>
      </c>
    </row>
    <row r="14" spans="1:7">
      <c r="A14" s="109">
        <v>1303</v>
      </c>
      <c r="B14" s="114" t="s">
        <v>226</v>
      </c>
      <c r="G14" s="78">
        <f>SUMIF(WTB!A:A,A14,WTB!K:K)</f>
        <v>500</v>
      </c>
    </row>
    <row r="15" spans="1:7">
      <c r="A15" s="109">
        <v>1304</v>
      </c>
      <c r="B15" s="114" t="s">
        <v>225</v>
      </c>
      <c r="G15" s="78">
        <f>SUMIF(WTB!A:A,A15,WTB!K:K)</f>
        <v>126265</v>
      </c>
    </row>
    <row r="16" spans="1:7">
      <c r="A16" s="109">
        <v>1401</v>
      </c>
      <c r="B16" s="114" t="s">
        <v>278</v>
      </c>
      <c r="G16" s="78">
        <f>SUMIF(WTB!A:A,A16,WTB!K:K)</f>
        <v>98025.279365348368</v>
      </c>
    </row>
    <row r="17" spans="1:7">
      <c r="A17" s="109">
        <v>1402</v>
      </c>
      <c r="B17" s="114" t="s">
        <v>285</v>
      </c>
      <c r="G17" s="78">
        <f>SUMIF(WTB!A:A,A17,WTB!K:K)</f>
        <v>11831.720000000001</v>
      </c>
    </row>
    <row r="18" spans="1:7">
      <c r="A18" s="109">
        <v>1501</v>
      </c>
      <c r="B18" s="114" t="s">
        <v>27</v>
      </c>
      <c r="G18" s="78">
        <f>SUMIF(WTB!A:A,A18,WTB!K:K)</f>
        <v>42318.332142857143</v>
      </c>
    </row>
    <row r="19" spans="1:7">
      <c r="A19" s="109">
        <v>1502</v>
      </c>
      <c r="B19" s="114" t="s">
        <v>228</v>
      </c>
      <c r="G19" s="78">
        <f>SUMIF(WTB!A:A,A19,WTB!K:K)</f>
        <v>0</v>
      </c>
    </row>
    <row r="20" spans="1:7">
      <c r="A20" s="109">
        <v>1503</v>
      </c>
      <c r="B20" s="114" t="s">
        <v>229</v>
      </c>
      <c r="G20" s="78">
        <f>SUMIF(WTB!A:A,A20,WTB!K:K)</f>
        <v>0</v>
      </c>
    </row>
    <row r="21" spans="1:7">
      <c r="A21" s="109">
        <v>1504</v>
      </c>
      <c r="B21" s="114" t="s">
        <v>230</v>
      </c>
      <c r="G21" s="78">
        <f>SUMIF(WTB!A:A,A21,WTB!K:K)</f>
        <v>1300.1607000000001</v>
      </c>
    </row>
    <row r="22" spans="1:7">
      <c r="A22" s="109"/>
      <c r="B22" s="116" t="s">
        <v>244</v>
      </c>
      <c r="G22" s="119">
        <f>SUM(G9:G21)</f>
        <v>1112069.5158553482</v>
      </c>
    </row>
    <row r="23" spans="1:7">
      <c r="A23" s="109"/>
      <c r="B23" s="114"/>
    </row>
    <row r="24" spans="1:7">
      <c r="B24" s="115" t="s">
        <v>245</v>
      </c>
    </row>
    <row r="25" spans="1:7">
      <c r="A25" s="109"/>
      <c r="B25" s="114" t="s">
        <v>246</v>
      </c>
      <c r="G25" s="78">
        <f>SUMIF(WTB!A:A,A25,WTB!K:K)</f>
        <v>0</v>
      </c>
    </row>
    <row r="26" spans="1:7">
      <c r="A26" s="109"/>
      <c r="B26" s="114"/>
    </row>
    <row r="27" spans="1:7">
      <c r="A27" s="109"/>
      <c r="B27" s="116" t="s">
        <v>244</v>
      </c>
      <c r="G27" s="119">
        <f>SUM(G24:G26)</f>
        <v>0</v>
      </c>
    </row>
    <row r="28" spans="1:7">
      <c r="A28" s="109"/>
      <c r="B28" s="114"/>
    </row>
    <row r="29" spans="1:7" ht="10.8" thickBot="1">
      <c r="B29" s="108" t="s">
        <v>248</v>
      </c>
      <c r="G29" s="120">
        <f>G22+G27</f>
        <v>1112069.5158553482</v>
      </c>
    </row>
    <row r="30" spans="1:7" ht="10.8" thickTop="1">
      <c r="A30" s="109"/>
      <c r="B30" s="114"/>
    </row>
    <row r="31" spans="1:7">
      <c r="A31" s="109"/>
      <c r="B31" s="114"/>
    </row>
    <row r="32" spans="1:7">
      <c r="B32" s="108" t="s">
        <v>247</v>
      </c>
    </row>
    <row r="33" spans="1:10">
      <c r="B33" s="115" t="s">
        <v>249</v>
      </c>
    </row>
    <row r="34" spans="1:10">
      <c r="A34" s="109">
        <v>2101</v>
      </c>
      <c r="B34" s="114" t="s">
        <v>12</v>
      </c>
      <c r="G34" s="78">
        <f>-SUMIF(WTB!A:A,A34,WTB!K:K)</f>
        <v>470001.04763571429</v>
      </c>
    </row>
    <row r="35" spans="1:10">
      <c r="A35" s="109">
        <v>2110</v>
      </c>
      <c r="B35" s="114" t="s">
        <v>35</v>
      </c>
      <c r="G35" s="78">
        <f>-SUMIF(WTB!A:A,A35,WTB!K:K)</f>
        <v>0</v>
      </c>
    </row>
    <row r="36" spans="1:10">
      <c r="A36" s="109"/>
      <c r="B36" s="116" t="s">
        <v>250</v>
      </c>
      <c r="G36" s="119">
        <f>SUM(G33:G35)</f>
        <v>470001.04763571429</v>
      </c>
    </row>
    <row r="37" spans="1:10">
      <c r="B37" s="115" t="s">
        <v>251</v>
      </c>
    </row>
    <row r="38" spans="1:10">
      <c r="A38" s="110">
        <v>2201</v>
      </c>
      <c r="B38" s="117" t="s">
        <v>28</v>
      </c>
      <c r="G38" s="78">
        <f>-SUMIF(WTB!A:A,A38,WTB!K:K)</f>
        <v>14566.087364285713</v>
      </c>
    </row>
    <row r="39" spans="1:10" s="111" customFormat="1">
      <c r="A39" s="110">
        <v>2202</v>
      </c>
      <c r="B39" s="117" t="s">
        <v>235</v>
      </c>
      <c r="G39" s="78">
        <f>-SUMIF(WTB!A:A,A39,WTB!K:K)</f>
        <v>0</v>
      </c>
      <c r="H39" s="112"/>
      <c r="I39" s="112"/>
      <c r="J39" s="112"/>
    </row>
    <row r="40" spans="1:10" s="111" customFormat="1">
      <c r="A40" s="110">
        <v>2203</v>
      </c>
      <c r="B40" s="117" t="s">
        <v>236</v>
      </c>
      <c r="G40" s="78">
        <f>-SUMIF(WTB!A:A,A40,WTB!K:K)</f>
        <v>0</v>
      </c>
      <c r="H40" s="112"/>
      <c r="I40" s="112"/>
      <c r="J40" s="112"/>
    </row>
    <row r="41" spans="1:10" s="111" customFormat="1">
      <c r="A41" s="110">
        <v>2204</v>
      </c>
      <c r="B41" s="117" t="s">
        <v>78</v>
      </c>
      <c r="G41" s="78">
        <f>-SUMIF(WTB!A:A,A41,WTB!K:K)</f>
        <v>100874.70873085712</v>
      </c>
      <c r="H41" s="112"/>
      <c r="I41" s="112"/>
      <c r="J41" s="112"/>
    </row>
    <row r="42" spans="1:10" s="111" customFormat="1">
      <c r="A42" s="110">
        <v>2205</v>
      </c>
      <c r="B42" s="117" t="s">
        <v>237</v>
      </c>
      <c r="G42" s="78">
        <f>-SUMIF(WTB!A:A,A42,WTB!K:K)</f>
        <v>0</v>
      </c>
      <c r="H42" s="112"/>
      <c r="I42" s="112"/>
      <c r="J42" s="112"/>
    </row>
    <row r="43" spans="1:10" s="111" customFormat="1">
      <c r="A43" s="110">
        <v>2206</v>
      </c>
      <c r="B43" s="117" t="s">
        <v>238</v>
      </c>
      <c r="G43" s="78">
        <f>-SUMIF(WTB!A:A,A43,WTB!K:K)</f>
        <v>0</v>
      </c>
      <c r="H43" s="112"/>
      <c r="I43" s="112"/>
      <c r="J43" s="112"/>
    </row>
    <row r="44" spans="1:10">
      <c r="A44" s="109"/>
      <c r="B44" s="116" t="s">
        <v>252</v>
      </c>
      <c r="G44" s="119">
        <f>SUM(G37:G43)</f>
        <v>115440.79609514284</v>
      </c>
    </row>
    <row r="45" spans="1:10">
      <c r="B45" s="115" t="s">
        <v>253</v>
      </c>
    </row>
    <row r="46" spans="1:10">
      <c r="A46" s="109">
        <v>2300</v>
      </c>
      <c r="B46" s="114" t="s">
        <v>197</v>
      </c>
      <c r="G46" s="78">
        <f>-SUMIF(WTB!A:A,A46,WTB!K:K)</f>
        <v>80585.466602564105</v>
      </c>
    </row>
    <row r="47" spans="1:10">
      <c r="A47" s="109">
        <v>2301</v>
      </c>
      <c r="B47" s="114" t="s">
        <v>192</v>
      </c>
      <c r="G47" s="78">
        <f>-SUMIF(WTB!A:A,A47,WTB!K:K)</f>
        <v>10265</v>
      </c>
    </row>
    <row r="48" spans="1:10">
      <c r="A48" s="109">
        <v>2302</v>
      </c>
      <c r="B48" s="114" t="s">
        <v>193</v>
      </c>
      <c r="G48" s="78">
        <f>-SUMIF(WTB!A:A,A48,WTB!K:K)</f>
        <v>6645.119999999999</v>
      </c>
    </row>
    <row r="49" spans="1:7">
      <c r="A49" s="109">
        <v>2303</v>
      </c>
      <c r="B49" s="114" t="s">
        <v>194</v>
      </c>
      <c r="G49" s="78">
        <f>-SUMIF(WTB!A:A,A49,WTB!K:K)</f>
        <v>2690</v>
      </c>
    </row>
    <row r="50" spans="1:7">
      <c r="A50" s="109">
        <v>2304</v>
      </c>
      <c r="B50" s="114" t="s">
        <v>195</v>
      </c>
      <c r="G50" s="78">
        <f>-SUMIF(WTB!A:A,A50,WTB!K:K)</f>
        <v>1400</v>
      </c>
    </row>
    <row r="51" spans="1:7">
      <c r="A51" s="109">
        <v>2305</v>
      </c>
      <c r="B51" s="114" t="s">
        <v>196</v>
      </c>
      <c r="G51" s="78">
        <f>-SUMIF(WTB!A:A,A51,WTB!K:K)</f>
        <v>6023.87</v>
      </c>
    </row>
    <row r="52" spans="1:7">
      <c r="A52" s="109">
        <v>2306</v>
      </c>
      <c r="B52" s="114" t="s">
        <v>200</v>
      </c>
      <c r="G52" s="78">
        <f>-SUMIF(WTB!A:A,A52,WTB!K:K)</f>
        <v>6277.4500000000007</v>
      </c>
    </row>
    <row r="53" spans="1:7">
      <c r="A53" s="109">
        <v>2401</v>
      </c>
      <c r="B53" s="114" t="s">
        <v>208</v>
      </c>
      <c r="G53" s="78">
        <f>-SUMIF(WTB!A:A,A53,WTB!K:K)</f>
        <v>47604.216</v>
      </c>
    </row>
    <row r="54" spans="1:7">
      <c r="A54" s="109"/>
      <c r="B54" s="116" t="s">
        <v>254</v>
      </c>
      <c r="G54" s="119">
        <f>SUM(G45:G53)</f>
        <v>161491.12260256411</v>
      </c>
    </row>
    <row r="55" spans="1:7">
      <c r="B55" s="115" t="s">
        <v>255</v>
      </c>
    </row>
    <row r="56" spans="1:7">
      <c r="A56" s="109">
        <v>2402</v>
      </c>
      <c r="B56" s="114" t="s">
        <v>209</v>
      </c>
      <c r="G56" s="78">
        <f>-SUMIF(WTB!A:A,A56,WTB!K:K)</f>
        <v>8400.7439999999988</v>
      </c>
    </row>
    <row r="57" spans="1:7">
      <c r="A57" s="109">
        <v>2403</v>
      </c>
      <c r="B57" s="114" t="s">
        <v>210</v>
      </c>
      <c r="G57" s="78">
        <f>-SUMIF(WTB!A:A,A57,WTB!K:K)</f>
        <v>14001.24</v>
      </c>
    </row>
    <row r="58" spans="1:7">
      <c r="A58" s="109"/>
      <c r="B58" s="116" t="s">
        <v>256</v>
      </c>
      <c r="G58" s="119">
        <f>SUM(G55:G57)</f>
        <v>22401.983999999997</v>
      </c>
    </row>
    <row r="59" spans="1:7">
      <c r="A59" s="109"/>
      <c r="B59" s="116"/>
      <c r="G59" s="121"/>
    </row>
    <row r="60" spans="1:7">
      <c r="B60" s="108" t="s">
        <v>257</v>
      </c>
      <c r="G60" s="123">
        <f>G36+G44+G54+G58</f>
        <v>769334.95033342112</v>
      </c>
    </row>
    <row r="61" spans="1:7">
      <c r="B61" s="108"/>
    </row>
    <row r="62" spans="1:7">
      <c r="B62" s="108" t="s">
        <v>258</v>
      </c>
    </row>
    <row r="63" spans="1:7">
      <c r="A63" s="109">
        <v>3001</v>
      </c>
      <c r="B63" s="113" t="s">
        <v>216</v>
      </c>
      <c r="G63" s="78">
        <f>-SUMIF(WTB!A:A,A63,WTB!K:K)</f>
        <v>250000</v>
      </c>
    </row>
    <row r="64" spans="1:7">
      <c r="A64" s="109">
        <v>3003</v>
      </c>
      <c r="B64" s="113" t="s">
        <v>218</v>
      </c>
      <c r="G64" s="78">
        <f>-SUMIF(WTB!A:A,A64,WTB!K:K)</f>
        <v>0</v>
      </c>
    </row>
    <row r="65" spans="1:7">
      <c r="A65" s="109">
        <v>3002</v>
      </c>
      <c r="B65" s="113" t="s">
        <v>260</v>
      </c>
      <c r="G65" s="78">
        <f>-SUMIF(WTB!A:A,A65,WTB!K:K)</f>
        <v>0</v>
      </c>
    </row>
    <row r="66" spans="1:7">
      <c r="A66" s="109">
        <v>3005</v>
      </c>
      <c r="B66" s="113" t="s">
        <v>261</v>
      </c>
      <c r="G66" s="78">
        <f>-SUM(WTB!K42:K97)</f>
        <v>85988.687009926958</v>
      </c>
    </row>
    <row r="67" spans="1:7">
      <c r="A67" s="109"/>
      <c r="G67" s="84"/>
    </row>
    <row r="68" spans="1:7">
      <c r="B68" s="108" t="s">
        <v>259</v>
      </c>
      <c r="G68" s="123">
        <f>SUM(G62:G67)</f>
        <v>335988.68700992694</v>
      </c>
    </row>
    <row r="69" spans="1:7">
      <c r="A69" s="109"/>
    </row>
    <row r="70" spans="1:7" ht="10.8" thickBot="1">
      <c r="B70" s="108" t="s">
        <v>262</v>
      </c>
      <c r="G70" s="120">
        <f>G60+G68</f>
        <v>1105323.637343348</v>
      </c>
    </row>
    <row r="71" spans="1:7" ht="10.8" thickTop="1">
      <c r="B71" s="108"/>
    </row>
    <row r="72" spans="1:7">
      <c r="B72" s="108"/>
      <c r="G72" s="78">
        <f>G29-G70</f>
        <v>6745.8785120001994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3"/>
  <sheetViews>
    <sheetView tabSelected="1" topLeftCell="B51" workbookViewId="0">
      <selection activeCell="G79" sqref="G79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8">
      <c r="B1" s="108" t="s">
        <v>0</v>
      </c>
    </row>
    <row r="2" spans="1:8">
      <c r="B2" s="108" t="s">
        <v>1</v>
      </c>
    </row>
    <row r="3" spans="1:8">
      <c r="B3" s="108" t="s">
        <v>385</v>
      </c>
    </row>
    <row r="4" spans="1:8">
      <c r="B4" s="108" t="s">
        <v>386</v>
      </c>
    </row>
    <row r="7" spans="1:8" s="78" customFormat="1">
      <c r="A7" s="8"/>
      <c r="B7" s="108" t="s">
        <v>267</v>
      </c>
      <c r="C7" s="8"/>
      <c r="D7" s="8"/>
      <c r="E7" s="8"/>
      <c r="F7" s="8"/>
    </row>
    <row r="8" spans="1:8" s="78" customFormat="1">
      <c r="A8" s="8"/>
      <c r="B8" s="115" t="s">
        <v>73</v>
      </c>
      <c r="C8" s="8"/>
      <c r="D8" s="8"/>
      <c r="E8" s="8"/>
      <c r="F8" s="8"/>
    </row>
    <row r="9" spans="1:8" s="78" customFormat="1">
      <c r="A9" s="109">
        <v>4001</v>
      </c>
      <c r="B9" s="114" t="s">
        <v>219</v>
      </c>
      <c r="C9" s="8"/>
      <c r="D9" s="8"/>
      <c r="E9" s="8"/>
      <c r="F9" s="8"/>
      <c r="G9" s="78">
        <f>-SUMIF(WTB!A:A,A9,WTB!K:K)</f>
        <v>851950.89418571419</v>
      </c>
    </row>
    <row r="10" spans="1:8" s="78" customFormat="1">
      <c r="A10" s="109">
        <v>4002</v>
      </c>
      <c r="B10" s="114" t="s">
        <v>220</v>
      </c>
      <c r="C10" s="8"/>
      <c r="D10" s="8"/>
      <c r="E10" s="8"/>
      <c r="F10" s="8"/>
      <c r="G10" s="78">
        <f>-SUMIF(WTB!A:A,A10,WTB!K:K)</f>
        <v>0</v>
      </c>
    </row>
    <row r="11" spans="1:8" s="78" customFormat="1">
      <c r="A11" s="109">
        <v>4003</v>
      </c>
      <c r="B11" s="114" t="s">
        <v>221</v>
      </c>
      <c r="C11" s="8"/>
      <c r="D11" s="8"/>
      <c r="E11" s="8"/>
      <c r="F11" s="8"/>
      <c r="G11" s="78">
        <f>-SUMIF(WTB!A:A,A11,WTB!K:K)</f>
        <v>0</v>
      </c>
    </row>
    <row r="12" spans="1:8" s="78" customFormat="1">
      <c r="A12" s="8"/>
      <c r="B12" s="116" t="s">
        <v>268</v>
      </c>
      <c r="C12" s="8"/>
      <c r="D12" s="8"/>
      <c r="E12" s="8"/>
      <c r="F12" s="8"/>
      <c r="G12" s="119">
        <f>SUM(G9:G11)</f>
        <v>851950.89418571419</v>
      </c>
    </row>
    <row r="13" spans="1:8" s="78" customFormat="1">
      <c r="A13" s="8"/>
      <c r="B13" s="115" t="s">
        <v>269</v>
      </c>
      <c r="C13" s="8"/>
      <c r="D13" s="8"/>
      <c r="E13" s="8"/>
      <c r="F13" s="8"/>
    </row>
    <row r="14" spans="1:8" s="78" customFormat="1">
      <c r="A14" s="109">
        <v>4101</v>
      </c>
      <c r="B14" s="114" t="s">
        <v>231</v>
      </c>
      <c r="C14" s="8"/>
      <c r="D14" s="8"/>
      <c r="E14" s="8"/>
      <c r="F14" s="8"/>
      <c r="G14" s="78">
        <f>SUMIF(WTB!A:A,A14,WTB!K:K)</f>
        <v>4547.7232142857138</v>
      </c>
    </row>
    <row r="15" spans="1:8" s="78" customFormat="1">
      <c r="A15" s="109">
        <v>4102</v>
      </c>
      <c r="B15" s="114" t="s">
        <v>232</v>
      </c>
      <c r="C15" s="8"/>
      <c r="D15" s="8"/>
      <c r="E15" s="8"/>
      <c r="F15" s="8"/>
      <c r="G15" s="78">
        <f>SUMIF(WTB!A:A,A15,WTB!K:K)</f>
        <v>88.839285714285708</v>
      </c>
    </row>
    <row r="16" spans="1:8" s="78" customFormat="1">
      <c r="A16" s="109">
        <v>4103</v>
      </c>
      <c r="B16" s="114" t="s">
        <v>233</v>
      </c>
      <c r="C16" s="8"/>
      <c r="D16" s="8"/>
      <c r="E16" s="8"/>
      <c r="F16" s="8"/>
      <c r="G16" s="78">
        <f>SUMIF(WTB!A:A,A16,WTB!K:K)</f>
        <v>37.946428571428569</v>
      </c>
      <c r="H16" s="78">
        <f>+G15+G16</f>
        <v>126.78571428571428</v>
      </c>
    </row>
    <row r="17" spans="1:7" s="78" customFormat="1">
      <c r="A17" s="109">
        <v>4104</v>
      </c>
      <c r="B17" s="114" t="s">
        <v>234</v>
      </c>
      <c r="C17" s="8"/>
      <c r="D17" s="8"/>
      <c r="E17" s="8"/>
      <c r="F17" s="8"/>
      <c r="G17" s="78">
        <f>SUMIF(WTB!A:A,A17,WTB!K:K)</f>
        <v>6653.8124999999991</v>
      </c>
    </row>
    <row r="18" spans="1:7" s="78" customFormat="1">
      <c r="A18" s="8"/>
      <c r="B18" s="116" t="s">
        <v>270</v>
      </c>
      <c r="C18" s="8"/>
      <c r="D18" s="8"/>
      <c r="E18" s="8"/>
      <c r="F18" s="8"/>
      <c r="G18" s="119">
        <f>SUM(G14:G17)</f>
        <v>11328.321428571428</v>
      </c>
    </row>
    <row r="19" spans="1:7" s="78" customFormat="1">
      <c r="A19" s="8"/>
      <c r="B19" s="115" t="s">
        <v>271</v>
      </c>
      <c r="C19" s="8"/>
      <c r="D19" s="8"/>
      <c r="E19" s="8"/>
      <c r="F19" s="8"/>
      <c r="G19" s="119">
        <f>G12-G18</f>
        <v>840622.57275714271</v>
      </c>
    </row>
    <row r="20" spans="1:7" s="78" customFormat="1">
      <c r="A20" s="8"/>
      <c r="B20" s="115" t="s">
        <v>263</v>
      </c>
      <c r="C20" s="8"/>
      <c r="D20" s="8"/>
      <c r="E20" s="8"/>
      <c r="F20" s="8"/>
    </row>
    <row r="21" spans="1:7" s="78" customFormat="1">
      <c r="A21" s="109">
        <v>4901</v>
      </c>
      <c r="B21" s="114" t="s">
        <v>222</v>
      </c>
      <c r="C21" s="8"/>
      <c r="D21" s="8"/>
      <c r="E21" s="8"/>
      <c r="F21" s="8"/>
      <c r="G21" s="78">
        <f>-SUMIF(WTB!A:A,A21,WTB!K:K)</f>
        <v>68.890000000000782</v>
      </c>
    </row>
    <row r="22" spans="1:7" s="78" customFormat="1">
      <c r="A22" s="109">
        <v>4999</v>
      </c>
      <c r="B22" s="114" t="s">
        <v>263</v>
      </c>
      <c r="C22" s="8"/>
      <c r="D22" s="8"/>
      <c r="E22" s="8"/>
      <c r="F22" s="8"/>
      <c r="G22" s="78">
        <f>-SUMIF(WTB!A:A,A22,WTB!K:K)</f>
        <v>97.02</v>
      </c>
    </row>
    <row r="23" spans="1:7" s="78" customFormat="1">
      <c r="A23" s="8"/>
      <c r="B23" s="116" t="s">
        <v>273</v>
      </c>
      <c r="C23" s="8"/>
      <c r="D23" s="8"/>
      <c r="E23" s="8"/>
      <c r="F23" s="8"/>
      <c r="G23" s="119">
        <f>SUM(G21:G22)</f>
        <v>165.91000000000076</v>
      </c>
    </row>
    <row r="24" spans="1:7" s="78" customFormat="1">
      <c r="A24" s="8"/>
      <c r="B24" s="108" t="s">
        <v>272</v>
      </c>
      <c r="C24" s="8"/>
      <c r="D24" s="8"/>
      <c r="E24" s="8"/>
      <c r="F24" s="8"/>
      <c r="G24" s="118">
        <f>G19+G23</f>
        <v>840788.48275714274</v>
      </c>
    </row>
    <row r="25" spans="1:7" s="78" customFormat="1">
      <c r="A25" s="109"/>
      <c r="B25" s="114"/>
      <c r="C25" s="8"/>
      <c r="D25" s="8"/>
      <c r="E25" s="8"/>
      <c r="F25" s="8"/>
    </row>
    <row r="26" spans="1:7" s="78" customFormat="1">
      <c r="A26" s="109"/>
      <c r="B26" s="114"/>
      <c r="C26" s="8"/>
      <c r="D26" s="8"/>
      <c r="E26" s="8"/>
      <c r="F26" s="8"/>
    </row>
    <row r="27" spans="1:7" s="78" customFormat="1">
      <c r="A27" s="8"/>
      <c r="B27" s="108" t="s">
        <v>274</v>
      </c>
      <c r="C27" s="8"/>
      <c r="D27" s="8"/>
      <c r="E27" s="8"/>
      <c r="F27" s="8"/>
    </row>
    <row r="28" spans="1:7" s="78" customFormat="1">
      <c r="A28" s="8"/>
      <c r="B28" s="114" t="s">
        <v>275</v>
      </c>
      <c r="C28" s="8"/>
      <c r="D28" s="8"/>
      <c r="E28" s="8"/>
      <c r="F28" s="8"/>
      <c r="G28" s="78">
        <f>+WTB!C15</f>
        <v>80678.736259828889</v>
      </c>
    </row>
    <row r="29" spans="1:7" s="78" customFormat="1">
      <c r="A29" s="109">
        <v>5001</v>
      </c>
      <c r="B29" s="114" t="s">
        <v>141</v>
      </c>
      <c r="C29" s="8"/>
      <c r="D29" s="8"/>
      <c r="E29" s="8"/>
      <c r="F29" s="8"/>
      <c r="G29" s="78">
        <f>SUMIF(WTB!A:A,A29,WTB!K:K)</f>
        <v>175451.35642857139</v>
      </c>
    </row>
    <row r="30" spans="1:7" s="78" customFormat="1">
      <c r="A30" s="109">
        <v>5002</v>
      </c>
      <c r="B30" s="114" t="s">
        <v>142</v>
      </c>
      <c r="C30" s="8"/>
      <c r="D30" s="8"/>
      <c r="E30" s="8"/>
      <c r="F30" s="8"/>
      <c r="G30" s="122">
        <f>SUMIF(WTB!A:A,A30,WTB!K:K)</f>
        <v>22493.579285714281</v>
      </c>
    </row>
    <row r="31" spans="1:7" s="78" customFormat="1">
      <c r="A31" s="109"/>
      <c r="B31" s="124" t="s">
        <v>276</v>
      </c>
      <c r="C31" s="8"/>
      <c r="D31" s="8"/>
      <c r="E31" s="8"/>
      <c r="F31" s="8"/>
      <c r="G31" s="78">
        <f>SUM(G28:G30)</f>
        <v>278623.67197411461</v>
      </c>
    </row>
    <row r="32" spans="1:7" s="78" customFormat="1">
      <c r="A32" s="109" t="s">
        <v>203</v>
      </c>
      <c r="B32" s="114" t="s">
        <v>205</v>
      </c>
      <c r="C32" s="8"/>
      <c r="D32" s="8"/>
      <c r="E32" s="8"/>
      <c r="F32" s="8"/>
      <c r="G32" s="78">
        <f>SUMIF(WTB!A:A,A32,WTB!K:K)</f>
        <v>-4007.2508499999994</v>
      </c>
    </row>
    <row r="33" spans="1:8" s="78" customFormat="1">
      <c r="A33" s="109" t="s">
        <v>204</v>
      </c>
      <c r="B33" s="114" t="s">
        <v>206</v>
      </c>
      <c r="C33" s="8"/>
      <c r="D33" s="8"/>
      <c r="E33" s="8"/>
      <c r="F33" s="8"/>
      <c r="G33" s="78">
        <f>SUMIF(WTB!A:A,A33,WTB!K:K)</f>
        <v>-773.755</v>
      </c>
    </row>
    <row r="34" spans="1:8" s="78" customFormat="1">
      <c r="A34" s="109">
        <v>5003</v>
      </c>
      <c r="B34" s="114" t="s">
        <v>266</v>
      </c>
      <c r="C34" s="8"/>
      <c r="D34" s="8"/>
      <c r="E34" s="8"/>
      <c r="F34" s="8"/>
      <c r="G34" s="78">
        <f>SUMIF(WTB!A:A,A34,WTB!K:K)</f>
        <v>-3794.58</v>
      </c>
    </row>
    <row r="35" spans="1:8" s="78" customFormat="1">
      <c r="A35" s="109">
        <v>1401</v>
      </c>
      <c r="B35" s="114" t="s">
        <v>277</v>
      </c>
      <c r="C35" s="8"/>
      <c r="D35" s="8"/>
      <c r="E35" s="8"/>
      <c r="F35" s="8"/>
      <c r="G35" s="78">
        <f>-WTB!K15</f>
        <v>-98025.279365348368</v>
      </c>
      <c r="H35" s="159"/>
    </row>
    <row r="36" spans="1:8" s="78" customFormat="1">
      <c r="A36" s="109"/>
      <c r="B36" s="125" t="s">
        <v>279</v>
      </c>
      <c r="C36" s="8"/>
      <c r="D36" s="8"/>
      <c r="E36" s="8"/>
      <c r="F36" s="8"/>
      <c r="G36" s="118">
        <f>SUM(G31:G35)</f>
        <v>172022.80675876621</v>
      </c>
      <c r="H36" s="126">
        <f>+G36/G12</f>
        <v>0.20191634040502277</v>
      </c>
    </row>
    <row r="37" spans="1:8" s="78" customFormat="1">
      <c r="A37" s="109"/>
      <c r="B37" s="125"/>
      <c r="C37" s="8"/>
      <c r="D37" s="8"/>
      <c r="E37" s="8"/>
      <c r="F37" s="8"/>
    </row>
    <row r="38" spans="1:8" s="78" customFormat="1">
      <c r="A38" s="109"/>
      <c r="B38" s="108" t="s">
        <v>280</v>
      </c>
      <c r="C38" s="8"/>
      <c r="D38" s="8"/>
      <c r="E38" s="8"/>
      <c r="F38" s="8"/>
      <c r="G38" s="123">
        <f>G24-G36</f>
        <v>668765.67599837657</v>
      </c>
    </row>
    <row r="39" spans="1:8" s="78" customFormat="1">
      <c r="A39" s="109"/>
      <c r="B39" s="108"/>
      <c r="C39" s="8"/>
      <c r="D39" s="8"/>
      <c r="E39" s="8"/>
      <c r="F39" s="8"/>
    </row>
    <row r="40" spans="1:8" s="78" customFormat="1">
      <c r="A40" s="109"/>
      <c r="B40" s="108" t="s">
        <v>281</v>
      </c>
      <c r="C40" s="8"/>
      <c r="D40" s="8"/>
      <c r="E40" s="8"/>
      <c r="F40" s="8"/>
    </row>
    <row r="41" spans="1:8" s="78" customFormat="1">
      <c r="A41" s="109">
        <v>6101</v>
      </c>
      <c r="B41" s="114" t="s">
        <v>173</v>
      </c>
      <c r="C41" s="8"/>
      <c r="D41" s="8"/>
      <c r="E41" s="8"/>
      <c r="F41" s="8"/>
      <c r="G41" s="78">
        <f>SUMIF(WTB!A:A,A41,WTB!K:K)</f>
        <v>102145.56525641025</v>
      </c>
    </row>
    <row r="42" spans="1:8" s="78" customFormat="1">
      <c r="A42" s="109">
        <v>6102</v>
      </c>
      <c r="B42" s="114" t="s">
        <v>184</v>
      </c>
      <c r="C42" s="8"/>
      <c r="D42" s="8"/>
      <c r="E42" s="8"/>
      <c r="F42" s="8"/>
      <c r="G42" s="78">
        <f>SUMIF(WTB!A:A,A42,WTB!K:K)</f>
        <v>7736</v>
      </c>
    </row>
    <row r="43" spans="1:8" s="78" customFormat="1">
      <c r="A43" s="109">
        <v>6103</v>
      </c>
      <c r="B43" s="114" t="s">
        <v>185</v>
      </c>
      <c r="C43" s="8"/>
      <c r="D43" s="8"/>
      <c r="E43" s="8"/>
      <c r="F43" s="8"/>
      <c r="G43" s="78">
        <f>SUMIF(WTB!A:A,A43,WTB!K:K)</f>
        <v>1024.3413461538462</v>
      </c>
    </row>
    <row r="44" spans="1:8" s="78" customFormat="1">
      <c r="A44" s="109">
        <v>6104</v>
      </c>
      <c r="B44" s="114" t="s">
        <v>186</v>
      </c>
      <c r="C44" s="8"/>
      <c r="D44" s="8"/>
      <c r="E44" s="8"/>
      <c r="F44" s="8"/>
      <c r="G44" s="78">
        <f>SUMIF(WTB!A:A,A44,WTB!K:K)</f>
        <v>0</v>
      </c>
    </row>
    <row r="45" spans="1:8" s="78" customFormat="1">
      <c r="A45" s="109">
        <v>6105</v>
      </c>
      <c r="B45" s="114" t="s">
        <v>187</v>
      </c>
      <c r="C45" s="8"/>
      <c r="D45" s="8"/>
      <c r="E45" s="8"/>
      <c r="F45" s="8"/>
      <c r="G45" s="78">
        <f>SUMIF(WTB!A:A,A45,WTB!K:K)</f>
        <v>0</v>
      </c>
    </row>
    <row r="46" spans="1:8" s="78" customFormat="1">
      <c r="A46" s="109">
        <v>6106</v>
      </c>
      <c r="B46" s="114" t="s">
        <v>211</v>
      </c>
      <c r="C46" s="8"/>
      <c r="D46" s="8"/>
      <c r="E46" s="8"/>
      <c r="F46" s="8"/>
      <c r="G46" s="78">
        <f>SUMIF(WTB!A:A,A46,WTB!K:K)</f>
        <v>6904.2</v>
      </c>
    </row>
    <row r="47" spans="1:8" s="78" customFormat="1">
      <c r="A47" s="109">
        <v>6107</v>
      </c>
      <c r="B47" s="114" t="s">
        <v>212</v>
      </c>
      <c r="C47" s="8"/>
      <c r="D47" s="8"/>
      <c r="E47" s="8"/>
      <c r="F47" s="8"/>
      <c r="G47" s="78">
        <f>SUMIF(WTB!A:A,A47,WTB!K:K)</f>
        <v>1345</v>
      </c>
    </row>
    <row r="48" spans="1:8" s="78" customFormat="1">
      <c r="A48" s="109">
        <v>6108</v>
      </c>
      <c r="B48" s="114" t="s">
        <v>213</v>
      </c>
      <c r="C48" s="8"/>
      <c r="D48" s="8"/>
      <c r="E48" s="8"/>
      <c r="F48" s="8"/>
      <c r="G48" s="78">
        <f>SUMIF(WTB!A:A,A48,WTB!K:K)</f>
        <v>700</v>
      </c>
    </row>
    <row r="49" spans="1:7" s="78" customFormat="1">
      <c r="A49" s="109">
        <v>6109</v>
      </c>
      <c r="B49" s="114" t="s">
        <v>149</v>
      </c>
      <c r="C49" s="8"/>
      <c r="D49" s="8"/>
      <c r="E49" s="8"/>
      <c r="F49" s="8"/>
      <c r="G49" s="78">
        <f>SUMIF(WTB!A:A,A49,WTB!K:K)</f>
        <v>10375.250000000002</v>
      </c>
    </row>
    <row r="50" spans="1:7" s="78" customFormat="1">
      <c r="A50" s="109">
        <v>6110</v>
      </c>
      <c r="B50" s="114" t="s">
        <v>37</v>
      </c>
      <c r="C50" s="8"/>
      <c r="D50" s="8"/>
      <c r="E50" s="8"/>
      <c r="F50" s="8"/>
      <c r="G50" s="78">
        <f>SUMIF(WTB!A:A,A50,WTB!K:K)</f>
        <v>30170.17</v>
      </c>
    </row>
    <row r="51" spans="1:7" s="78" customFormat="1">
      <c r="A51" s="109">
        <v>6401</v>
      </c>
      <c r="B51" s="114" t="s">
        <v>36</v>
      </c>
      <c r="C51" s="8"/>
      <c r="D51" s="8"/>
      <c r="E51" s="8"/>
      <c r="F51" s="8"/>
      <c r="G51" s="78">
        <f>SUMIF(WTB!A:A,A51,WTB!K:K)</f>
        <v>25462.330357142855</v>
      </c>
    </row>
    <row r="52" spans="1:7" s="78" customFormat="1">
      <c r="A52" s="109">
        <v>6402</v>
      </c>
      <c r="B52" s="114" t="s">
        <v>33</v>
      </c>
      <c r="C52" s="8"/>
      <c r="D52" s="8"/>
      <c r="E52" s="8"/>
      <c r="F52" s="8"/>
      <c r="G52" s="78">
        <f>SUMIF(WTB!A:A,A52,WTB!K:K)</f>
        <v>14999.999999999998</v>
      </c>
    </row>
    <row r="53" spans="1:7" s="78" customFormat="1">
      <c r="A53" s="109">
        <v>6201</v>
      </c>
      <c r="B53" s="114" t="s">
        <v>30</v>
      </c>
      <c r="C53" s="8"/>
      <c r="D53" s="8"/>
      <c r="E53" s="8"/>
      <c r="F53" s="8"/>
      <c r="G53" s="78">
        <f>SUMIF(WTB!A:A,A53,WTB!K:K)</f>
        <v>168501.07142857142</v>
      </c>
    </row>
    <row r="54" spans="1:7" s="78" customFormat="1">
      <c r="A54" s="109">
        <v>6202</v>
      </c>
      <c r="B54" s="114" t="s">
        <v>32</v>
      </c>
      <c r="C54" s="8"/>
      <c r="D54" s="8"/>
      <c r="E54" s="8"/>
      <c r="F54" s="8"/>
      <c r="G54" s="78">
        <f>SUMIF(WTB!A:A,A54,WTB!K:K)</f>
        <v>2999.9999999999995</v>
      </c>
    </row>
    <row r="55" spans="1:7" s="78" customFormat="1">
      <c r="A55" s="109">
        <v>6204</v>
      </c>
      <c r="B55" s="114" t="s">
        <v>155</v>
      </c>
      <c r="C55" s="8"/>
      <c r="D55" s="8"/>
      <c r="E55" s="8"/>
      <c r="F55" s="8"/>
      <c r="G55" s="78">
        <f>SUMIF(WTB!A:A,A55,WTB!K:K)</f>
        <v>0</v>
      </c>
    </row>
    <row r="56" spans="1:7" s="78" customFormat="1">
      <c r="A56" s="109">
        <v>5101</v>
      </c>
      <c r="B56" s="114" t="s">
        <v>158</v>
      </c>
      <c r="C56" s="8"/>
      <c r="D56" s="8"/>
      <c r="E56" s="8"/>
      <c r="F56" s="8"/>
      <c r="G56" s="78">
        <f>SUMIF(WTB!A:A,A56,WTB!K:K)</f>
        <v>13948.294642857141</v>
      </c>
    </row>
    <row r="57" spans="1:7" s="78" customFormat="1">
      <c r="A57" s="109">
        <v>6211</v>
      </c>
      <c r="B57" s="114" t="s">
        <v>157</v>
      </c>
      <c r="C57" s="8"/>
      <c r="D57" s="8"/>
      <c r="E57" s="8"/>
      <c r="F57" s="8"/>
      <c r="G57" s="78">
        <f>SUMIF(WTB!A:A,A57,WTB!K:K)</f>
        <v>178.13</v>
      </c>
    </row>
    <row r="58" spans="1:7" s="78" customFormat="1">
      <c r="A58" s="109">
        <v>6212</v>
      </c>
      <c r="B58" s="114" t="s">
        <v>143</v>
      </c>
      <c r="C58" s="8"/>
      <c r="D58" s="8"/>
      <c r="E58" s="8"/>
      <c r="F58" s="8"/>
      <c r="G58" s="78">
        <f>SUMIF(WTB!A:A,A58,WTB!K:K)</f>
        <v>5551.6728571428575</v>
      </c>
    </row>
    <row r="59" spans="1:7" s="78" customFormat="1">
      <c r="A59" s="109">
        <v>6214</v>
      </c>
      <c r="B59" s="114" t="s">
        <v>144</v>
      </c>
      <c r="C59" s="8"/>
      <c r="D59" s="8"/>
      <c r="E59" s="8"/>
      <c r="F59" s="8"/>
      <c r="G59" s="78">
        <f>SUMIF(WTB!A:A,A59,WTB!K:K)</f>
        <v>0</v>
      </c>
    </row>
    <row r="60" spans="1:7" s="78" customFormat="1">
      <c r="A60" s="109">
        <v>6217</v>
      </c>
      <c r="B60" s="114" t="s">
        <v>145</v>
      </c>
      <c r="C60" s="8"/>
      <c r="D60" s="8"/>
      <c r="E60" s="8"/>
      <c r="F60" s="8"/>
      <c r="G60" s="78">
        <f>SUMIF(WTB!A:A,A60,WTB!K:K)</f>
        <v>941.96428571428567</v>
      </c>
    </row>
    <row r="61" spans="1:7" s="78" customFormat="1">
      <c r="A61" s="109">
        <v>6218</v>
      </c>
      <c r="B61" s="114" t="s">
        <v>156</v>
      </c>
      <c r="C61" s="8"/>
      <c r="D61" s="8"/>
      <c r="E61" s="8"/>
      <c r="F61" s="8"/>
      <c r="G61" s="78">
        <f>SUMIF(WTB!A:A,A61,WTB!K:K)</f>
        <v>133.72285714285681</v>
      </c>
    </row>
    <row r="62" spans="1:7" s="78" customFormat="1">
      <c r="A62" s="109">
        <v>6219</v>
      </c>
      <c r="B62" s="114" t="s">
        <v>146</v>
      </c>
      <c r="C62" s="8"/>
      <c r="D62" s="8"/>
      <c r="E62" s="8"/>
      <c r="F62" s="8"/>
      <c r="G62" s="78">
        <f>SUMIF(WTB!A:A,A62,WTB!K:K)</f>
        <v>1747.3696428571429</v>
      </c>
    </row>
    <row r="63" spans="1:7" s="78" customFormat="1">
      <c r="A63" s="109">
        <v>6220</v>
      </c>
      <c r="B63" s="114" t="s">
        <v>147</v>
      </c>
      <c r="C63" s="8"/>
      <c r="D63" s="8"/>
      <c r="E63" s="8"/>
      <c r="F63" s="8"/>
      <c r="G63" s="78">
        <f>SUMIF(WTB!A:A,A63,WTB!K:K)</f>
        <v>7619.955714285712</v>
      </c>
    </row>
    <row r="64" spans="1:7" s="78" customFormat="1">
      <c r="A64" s="109">
        <v>6223</v>
      </c>
      <c r="B64" s="114" t="s">
        <v>171</v>
      </c>
      <c r="C64" s="8"/>
      <c r="D64" s="8"/>
      <c r="E64" s="8"/>
      <c r="F64" s="8"/>
      <c r="G64" s="78">
        <f>SUMIF(WTB!A:A,A64,WTB!K:K)</f>
        <v>1397.1</v>
      </c>
    </row>
    <row r="65" spans="1:7" s="78" customFormat="1">
      <c r="A65" s="109">
        <v>6229</v>
      </c>
      <c r="B65" s="114" t="s">
        <v>148</v>
      </c>
      <c r="C65" s="8"/>
      <c r="D65" s="8"/>
      <c r="E65" s="8"/>
      <c r="F65" s="8"/>
      <c r="G65" s="78">
        <f>SUMIF(WTB!A:A,A65,WTB!K:K)</f>
        <v>281.45</v>
      </c>
    </row>
    <row r="66" spans="1:7" s="78" customFormat="1">
      <c r="A66" s="109">
        <v>6230</v>
      </c>
      <c r="B66" s="114" t="s">
        <v>169</v>
      </c>
      <c r="C66" s="8"/>
      <c r="D66" s="8"/>
      <c r="E66" s="8"/>
      <c r="F66" s="8"/>
      <c r="G66" s="78">
        <f>SUMIF(WTB!A:A,A66,WTB!K:K)</f>
        <v>1770</v>
      </c>
    </row>
    <row r="67" spans="1:7" s="78" customFormat="1">
      <c r="A67" s="109">
        <v>6231</v>
      </c>
      <c r="B67" s="114" t="s">
        <v>172</v>
      </c>
      <c r="C67" s="8"/>
      <c r="D67" s="8"/>
      <c r="E67" s="8"/>
      <c r="F67" s="8"/>
      <c r="G67" s="78">
        <f>SUMIF(WTB!A:A,A67,WTB!K:K)</f>
        <v>202.91000000000003</v>
      </c>
    </row>
    <row r="68" spans="1:7" s="78" customFormat="1">
      <c r="A68" s="109">
        <v>6232</v>
      </c>
      <c r="B68" s="114" t="s">
        <v>170</v>
      </c>
      <c r="C68" s="8"/>
      <c r="D68" s="8"/>
      <c r="E68" s="8"/>
      <c r="F68" s="8"/>
      <c r="G68" s="78">
        <f>SUMIF(WTB!A:A,A68,WTB!K:K)</f>
        <v>0</v>
      </c>
    </row>
    <row r="69" spans="1:7" s="78" customFormat="1">
      <c r="A69" s="109">
        <v>6308</v>
      </c>
      <c r="B69" s="114" t="s">
        <v>150</v>
      </c>
      <c r="C69" s="8"/>
      <c r="D69" s="8"/>
      <c r="E69" s="8"/>
      <c r="F69" s="8"/>
      <c r="G69" s="78">
        <f>SUMIF(WTB!A:A,A69,WTB!K:K)</f>
        <v>0</v>
      </c>
    </row>
    <row r="70" spans="1:7" s="78" customFormat="1">
      <c r="A70" s="109">
        <v>6312</v>
      </c>
      <c r="B70" s="114" t="s">
        <v>151</v>
      </c>
      <c r="C70" s="8"/>
      <c r="D70" s="8"/>
      <c r="E70" s="8"/>
      <c r="F70" s="8"/>
      <c r="G70" s="78">
        <f>SUMIF(WTB!A:A,A70,WTB!K:K)</f>
        <v>0</v>
      </c>
    </row>
    <row r="71" spans="1:7" s="78" customFormat="1">
      <c r="A71" s="109">
        <v>6313</v>
      </c>
      <c r="B71" s="114" t="s">
        <v>152</v>
      </c>
      <c r="C71" s="8"/>
      <c r="D71" s="8"/>
      <c r="E71" s="8"/>
      <c r="F71" s="8"/>
      <c r="G71" s="78">
        <f>SUMIF(WTB!A:A,A71,WTB!K:K)</f>
        <v>0</v>
      </c>
    </row>
    <row r="72" spans="1:7" s="78" customFormat="1">
      <c r="A72" s="109">
        <v>6234</v>
      </c>
      <c r="B72" s="114" t="s">
        <v>31</v>
      </c>
      <c r="C72" s="8"/>
      <c r="D72" s="8"/>
      <c r="E72" s="8"/>
      <c r="F72" s="8"/>
      <c r="G72" s="78">
        <f>SUMIF(WTB!A:A,A72,WTB!K:K)</f>
        <v>0</v>
      </c>
    </row>
    <row r="73" spans="1:7" s="78" customFormat="1">
      <c r="A73" s="109">
        <v>6315</v>
      </c>
      <c r="B73" s="114" t="s">
        <v>153</v>
      </c>
      <c r="C73" s="8"/>
      <c r="D73" s="8"/>
      <c r="E73" s="8"/>
      <c r="F73" s="8"/>
      <c r="G73" s="78">
        <f>SUMIF(WTB!A:A,A73,WTB!K:K)</f>
        <v>0</v>
      </c>
    </row>
    <row r="74" spans="1:7" s="78" customFormat="1">
      <c r="A74" s="109">
        <v>6316</v>
      </c>
      <c r="B74" s="114" t="s">
        <v>154</v>
      </c>
      <c r="C74" s="8"/>
      <c r="D74" s="8"/>
      <c r="E74" s="8"/>
      <c r="F74" s="8"/>
      <c r="G74" s="78">
        <f>SUMIF(WTB!A:A,A74,WTB!K:K)</f>
        <v>0</v>
      </c>
    </row>
    <row r="75" spans="1:7" s="78" customFormat="1">
      <c r="A75" s="109">
        <v>6317</v>
      </c>
      <c r="B75" s="114" t="s">
        <v>174</v>
      </c>
      <c r="C75" s="8"/>
      <c r="D75" s="8"/>
      <c r="E75" s="8"/>
      <c r="F75" s="8"/>
      <c r="G75" s="78">
        <f>SUMIF(WTB!A:A,A75,WTB!K:K)</f>
        <v>723</v>
      </c>
    </row>
    <row r="76" spans="1:7" s="78" customFormat="1">
      <c r="A76" s="109">
        <v>6318</v>
      </c>
      <c r="B76" s="114" t="s">
        <v>227</v>
      </c>
      <c r="C76" s="8"/>
      <c r="D76" s="8"/>
      <c r="E76" s="8"/>
      <c r="F76" s="8"/>
      <c r="G76" s="78">
        <f>SUMIF(WTB!A:A,A76,WTB!K:K)</f>
        <v>5590.6910099999986</v>
      </c>
    </row>
    <row r="77" spans="1:7" s="78" customFormat="1">
      <c r="A77" s="109">
        <v>6901</v>
      </c>
      <c r="B77" s="114" t="s">
        <v>207</v>
      </c>
      <c r="C77" s="8"/>
      <c r="D77" s="8"/>
      <c r="E77" s="8"/>
      <c r="F77" s="8"/>
      <c r="G77" s="78">
        <f>SUMIF(WTB!A:A,A77,WTB!K:K)</f>
        <v>4781.0058499999996</v>
      </c>
    </row>
    <row r="78" spans="1:7" s="78" customFormat="1">
      <c r="A78" s="109">
        <v>6902</v>
      </c>
      <c r="B78" s="114" t="s">
        <v>215</v>
      </c>
      <c r="C78" s="8"/>
      <c r="D78" s="8"/>
      <c r="E78" s="8"/>
      <c r="F78" s="8"/>
      <c r="G78" s="78">
        <f>SUMIF(WTB!A:A,A78,WTB!K:K)</f>
        <v>10.460000000001855</v>
      </c>
    </row>
    <row r="79" spans="1:7" s="78" customFormat="1">
      <c r="A79" s="109">
        <v>6999</v>
      </c>
      <c r="B79" s="114" t="s">
        <v>175</v>
      </c>
      <c r="C79" s="8"/>
      <c r="D79" s="8"/>
      <c r="E79" s="8"/>
      <c r="F79" s="8"/>
      <c r="G79" s="78">
        <f>SUMIF(WTB!A:A,A79,WTB!K:K)</f>
        <v>2344.31</v>
      </c>
    </row>
    <row r="80" spans="1:7" s="78" customFormat="1">
      <c r="A80" s="109"/>
      <c r="B80" s="108" t="s">
        <v>283</v>
      </c>
      <c r="C80" s="8"/>
      <c r="D80" s="8"/>
      <c r="E80" s="8"/>
      <c r="F80" s="8"/>
      <c r="G80" s="118">
        <f>+SUM(G41:G79)</f>
        <v>419585.9652482784</v>
      </c>
    </row>
    <row r="82" spans="1:7" s="78" customFormat="1" ht="10.8" thickBot="1">
      <c r="A82" s="109"/>
      <c r="B82" s="108" t="s">
        <v>284</v>
      </c>
      <c r="C82" s="8"/>
      <c r="D82" s="8"/>
      <c r="E82" s="8"/>
      <c r="F82" s="8"/>
      <c r="G82" s="120">
        <f>G38-G80</f>
        <v>249179.71075009817</v>
      </c>
    </row>
    <row r="83" spans="1:7" ht="10.8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10" sqref="L10"/>
    </sheetView>
  </sheetViews>
  <sheetFormatPr defaultRowHeight="14.4"/>
  <cols>
    <col min="1" max="1" width="13.88671875" customWidth="1"/>
    <col min="2" max="5" width="12.77734375" hidden="1" customWidth="1"/>
    <col min="6" max="6" width="2.88671875" hidden="1" customWidth="1"/>
    <col min="7" max="9" width="13" hidden="1" customWidth="1"/>
    <col min="10" max="10" width="12.5546875" hidden="1" customWidth="1"/>
    <col min="11" max="11" width="8.88671875" hidden="1" customWidth="1"/>
    <col min="12" max="14" width="13" customWidth="1"/>
    <col min="15" max="15" width="12.5546875" bestFit="1" customWidth="1"/>
    <col min="17" max="17" width="10.109375" bestFit="1" customWidth="1"/>
  </cols>
  <sheetData>
    <row r="1" spans="1:1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133</v>
      </c>
      <c r="M1" s="49" t="s">
        <v>134</v>
      </c>
      <c r="N1" s="49" t="s">
        <v>135</v>
      </c>
      <c r="O1" s="61" t="s">
        <v>136</v>
      </c>
    </row>
    <row r="2" spans="1:1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51">
        <v>840622.57275714271</v>
      </c>
      <c r="M2" s="51">
        <v>786991.04621428554</v>
      </c>
      <c r="N2" s="51">
        <v>785885.51</v>
      </c>
      <c r="O2" s="51">
        <f>SUM(L2:N2)</f>
        <v>2413499.1289714286</v>
      </c>
    </row>
    <row r="3" spans="1:1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SUM(G18:G19)</f>
        <v>173400.18749999997</v>
      </c>
      <c r="H5" s="52" t="e">
        <f>SUM(H18:H19)</f>
        <v>#REF!</v>
      </c>
      <c r="I5" s="52">
        <f>SUM(I18:I19)</f>
        <v>54898.035714285717</v>
      </c>
      <c r="J5" s="52" t="e">
        <f t="shared" ref="J5:J7" si="1">SUM(G5:I5)</f>
        <v>#REF!</v>
      </c>
      <c r="L5" s="52">
        <f>SUM(L18:L19)</f>
        <v>108825.89285714284</v>
      </c>
      <c r="M5" s="52">
        <f>SUM(M18:M19)</f>
        <v>148891.625</v>
      </c>
      <c r="N5" s="52">
        <f>SUM(N18:N19)</f>
        <v>168359.53571428568</v>
      </c>
      <c r="O5" s="52">
        <f t="shared" ref="O5:O7" si="2">SUM(L5:N5)</f>
        <v>426077.05357142852</v>
      </c>
    </row>
    <row r="6" spans="1:1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SUM(G22:G24)</f>
        <v>207267.07142857139</v>
      </c>
      <c r="H6" s="52" t="e">
        <f>SUM(H22:H24)</f>
        <v>#REF!</v>
      </c>
      <c r="I6" s="52">
        <f>SUM(I22:I24)</f>
        <v>209562.4375</v>
      </c>
      <c r="J6" s="52" t="e">
        <f t="shared" si="1"/>
        <v>#REF!</v>
      </c>
      <c r="L6" s="52">
        <f>SUM(L22:L24)</f>
        <v>213302.68749999997</v>
      </c>
      <c r="M6" s="52">
        <f>SUM(M22:M24)</f>
        <v>213057.52678571426</v>
      </c>
      <c r="N6" s="52">
        <f>SUM(N22:N24)</f>
        <v>210804.78571428571</v>
      </c>
      <c r="O6" s="52">
        <f t="shared" si="2"/>
        <v>637164.99999999988</v>
      </c>
    </row>
    <row r="7" spans="1:1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SUM(G26:G28)</f>
        <v>136124.87</v>
      </c>
      <c r="H7" s="52" t="e">
        <f>SUM(H26:H28)</f>
        <v>#REF!</v>
      </c>
      <c r="I7" s="52">
        <f>SUM(I26:I28)</f>
        <v>50671.94</v>
      </c>
      <c r="J7" s="52" t="e">
        <f t="shared" si="1"/>
        <v>#REF!</v>
      </c>
      <c r="L7" s="52">
        <f>SUM(L26:L28)</f>
        <v>115155.32</v>
      </c>
      <c r="M7" s="52">
        <f>SUM(M26:M28)</f>
        <v>108671.94</v>
      </c>
      <c r="N7" s="52">
        <f>SUM(N26:N28)</f>
        <v>110073.68000000001</v>
      </c>
      <c r="O7" s="52">
        <f t="shared" si="2"/>
        <v>333900.94</v>
      </c>
    </row>
    <row r="8" spans="1:1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437283.90035714285</v>
      </c>
      <c r="M8" s="51">
        <f t="shared" si="5"/>
        <v>470621.09178571426</v>
      </c>
      <c r="N8" s="51">
        <f t="shared" si="5"/>
        <v>489238.00142857136</v>
      </c>
      <c r="O8" s="51">
        <f>SUM(O4:O7)</f>
        <v>1397142.9935714283</v>
      </c>
    </row>
    <row r="9" spans="1:1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100874.70873085712</v>
      </c>
      <c r="M10" s="55">
        <f t="shared" ref="M10:O10" si="8">+M2*0.12</f>
        <v>94438.925545714257</v>
      </c>
      <c r="N10" s="55">
        <f t="shared" si="8"/>
        <v>94306.261199999994</v>
      </c>
      <c r="O10" s="55">
        <f t="shared" si="8"/>
        <v>289619.8954765714</v>
      </c>
    </row>
    <row r="11" spans="1:1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38655.42964285714</v>
      </c>
      <c r="M11" s="56">
        <f t="shared" ref="M11:O11" si="11">SUM(M4:M6)*0.12</f>
        <v>43433.898214285713</v>
      </c>
      <c r="N11" s="56">
        <f t="shared" si="11"/>
        <v>45499.718571428559</v>
      </c>
      <c r="O11" s="56">
        <f t="shared" si="11"/>
        <v>127589.0464285714</v>
      </c>
    </row>
    <row r="12" spans="1:1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" thickBot="1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58">
        <f>ROUND(L10-L11,2)</f>
        <v>62219.28</v>
      </c>
      <c r="M13" s="58">
        <f>ROUND(M10-M11,2)</f>
        <v>51005.03</v>
      </c>
      <c r="N13" s="58">
        <f>ROUND(N10-N11,2)</f>
        <v>48806.54</v>
      </c>
      <c r="O13" s="55">
        <f>O10-O11</f>
        <v>162030.849048</v>
      </c>
    </row>
    <row r="14" spans="1:15" ht="15" thickTop="1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/>
      <c r="M14" s="52"/>
      <c r="N14" s="52"/>
      <c r="O14" s="55">
        <f>L13+M13</f>
        <v>113224.31</v>
      </c>
    </row>
    <row r="15" spans="1:15" ht="15" thickBot="1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/>
      <c r="M15" s="52"/>
      <c r="N15" s="52"/>
      <c r="O15" s="59">
        <f>+O13-O14</f>
        <v>48806.539048000006</v>
      </c>
    </row>
    <row r="16" spans="1:15" ht="15" thickTop="1"/>
    <row r="17" spans="1:17">
      <c r="J17" s="60"/>
      <c r="O17" s="60"/>
    </row>
    <row r="18" spans="1:17">
      <c r="A18" t="s">
        <v>84</v>
      </c>
      <c r="G18" s="60">
        <v>139776.99999999997</v>
      </c>
      <c r="H18" s="68" t="e">
        <f>SUM(AP!#REF!)/1.12</f>
        <v>#REF!</v>
      </c>
      <c r="I18" s="60"/>
      <c r="L18" s="60">
        <v>86214.098214285696</v>
      </c>
      <c r="M18" s="68">
        <v>115041.49107142857</v>
      </c>
      <c r="N18" s="60">
        <f>157421.9/1.12</f>
        <v>140555.26785714284</v>
      </c>
      <c r="Q18" s="68"/>
    </row>
    <row r="19" spans="1:17">
      <c r="A19" t="s">
        <v>85</v>
      </c>
      <c r="G19" s="60">
        <v>33623.1875</v>
      </c>
      <c r="H19" s="68" t="e">
        <f>SUM(AP!#REF!)/1.12</f>
        <v>#REF!</v>
      </c>
      <c r="I19" s="60">
        <v>54898.035714285717</v>
      </c>
      <c r="L19" s="60">
        <v>22611.794642857141</v>
      </c>
      <c r="M19" s="68">
        <v>33850.133928571428</v>
      </c>
      <c r="N19" s="60">
        <f>31140.78/1.12</f>
        <v>27804.267857142855</v>
      </c>
      <c r="Q19" s="68"/>
    </row>
    <row r="20" spans="1:17">
      <c r="G20" s="60"/>
      <c r="I20" s="60"/>
      <c r="L20" s="60"/>
      <c r="N20" s="60"/>
    </row>
    <row r="21" spans="1:17">
      <c r="G21" s="60"/>
      <c r="I21" s="60"/>
      <c r="L21" s="60"/>
      <c r="N21" s="60"/>
    </row>
    <row r="22" spans="1:17">
      <c r="A22" t="s">
        <v>86</v>
      </c>
      <c r="G22" s="60"/>
      <c r="I22" s="60"/>
      <c r="L22" s="60"/>
      <c r="N22" s="60"/>
    </row>
    <row r="23" spans="1:17">
      <c r="A23" t="s">
        <v>87</v>
      </c>
      <c r="G23" s="60">
        <v>1339.2857142857142</v>
      </c>
      <c r="I23" s="60"/>
      <c r="L23" s="60">
        <v>1339.2857142857142</v>
      </c>
      <c r="N23" s="60"/>
    </row>
    <row r="24" spans="1:17">
      <c r="A24" t="s">
        <v>88</v>
      </c>
      <c r="G24" s="60">
        <v>205927.78571428568</v>
      </c>
      <c r="H24" s="68" t="e">
        <f>SUM(AP!#REF!)/1.12</f>
        <v>#REF!</v>
      </c>
      <c r="I24" s="60">
        <v>209562.4375</v>
      </c>
      <c r="L24" s="60">
        <v>211963.40178571426</v>
      </c>
      <c r="M24" s="68">
        <v>213057.52678571426</v>
      </c>
      <c r="N24" s="60">
        <v>210804.78571428571</v>
      </c>
    </row>
    <row r="25" spans="1:17">
      <c r="G25" s="60"/>
      <c r="I25" s="60"/>
      <c r="L25" s="60"/>
      <c r="N25" s="60"/>
    </row>
    <row r="26" spans="1:17">
      <c r="A26" t="s">
        <v>89</v>
      </c>
      <c r="G26" s="60">
        <v>93262.6</v>
      </c>
      <c r="H26" s="68" t="e">
        <f>SUM(AP!#REF!)</f>
        <v>#REF!</v>
      </c>
      <c r="I26" s="60"/>
      <c r="L26" s="60">
        <v>68869.350000000006</v>
      </c>
      <c r="M26" s="68">
        <v>68467.199999999997</v>
      </c>
      <c r="N26" s="60">
        <v>66869.08</v>
      </c>
    </row>
    <row r="27" spans="1:17">
      <c r="A27" t="s">
        <v>90</v>
      </c>
      <c r="G27" s="60">
        <v>12784</v>
      </c>
      <c r="H27" s="68" t="e">
        <f>SUM(AP!#REF!)</f>
        <v>#REF!</v>
      </c>
      <c r="I27" s="60">
        <v>22007.000000000004</v>
      </c>
      <c r="L27" s="60">
        <v>16115.8</v>
      </c>
      <c r="M27" s="68">
        <v>16059.85</v>
      </c>
      <c r="N27" s="60">
        <v>15351.35</v>
      </c>
    </row>
    <row r="28" spans="1:17">
      <c r="A28" t="s">
        <v>91</v>
      </c>
      <c r="G28" s="60">
        <v>30078.27</v>
      </c>
      <c r="I28" s="60">
        <v>28664.940000000002</v>
      </c>
      <c r="L28" s="60">
        <v>30170.17</v>
      </c>
      <c r="M28">
        <v>24144.89</v>
      </c>
      <c r="N28" s="60">
        <v>27853.25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2019-02-20T23:58:28Z</dcterms:modified>
</cp:coreProperties>
</file>