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785" yWindow="945" windowWidth="7620" windowHeight="7155" tabRatio="542"/>
  </bookViews>
  <sheets>
    <sheet name="SALES SUMMARY" sheetId="1" r:id="rId1"/>
    <sheet name="ENTRY" sheetId="2" r:id="rId2"/>
    <sheet name="SC" sheetId="3" r:id="rId3"/>
    <sheet name="M &amp; C VALERO" sheetId="4" r:id="rId4"/>
    <sheet name="van dough" sheetId="5" r:id="rId5"/>
  </sheets>
  <definedNames>
    <definedName name="_xlnm.Print_Area" localSheetId="3">'M &amp; C VALERO'!$A$1:$G$129</definedName>
    <definedName name="_xlnm.Print_Area" localSheetId="2">SC!$A$1:$O$73</definedName>
  </definedNames>
  <calcPr calcId="124519"/>
</workbook>
</file>

<file path=xl/calcChain.xml><?xml version="1.0" encoding="utf-8"?>
<calcChain xmlns="http://schemas.openxmlformats.org/spreadsheetml/2006/main">
  <c r="AR88" i="1"/>
  <c r="Z87" l="1"/>
  <c r="Z82"/>
  <c r="AK82"/>
  <c r="AL82" s="1"/>
  <c r="AM82" s="1"/>
  <c r="AN82" s="1"/>
  <c r="AK81"/>
  <c r="AL81" s="1"/>
  <c r="AM81" s="1"/>
  <c r="AN81" s="1"/>
  <c r="AK61"/>
  <c r="AL61" s="1"/>
  <c r="AM61" s="1"/>
  <c r="AN61" s="1"/>
  <c r="AK60"/>
  <c r="AL60" s="1"/>
  <c r="AM60" s="1"/>
  <c r="AN60" s="1"/>
  <c r="Z60"/>
  <c r="AK58"/>
  <c r="AL58" s="1"/>
  <c r="AM58" s="1"/>
  <c r="AN58" s="1"/>
  <c r="AK57"/>
  <c r="AL57" s="1"/>
  <c r="AM57" s="1"/>
  <c r="AN57" s="1"/>
  <c r="AO55"/>
  <c r="AK40"/>
  <c r="AL40" s="1"/>
  <c r="AM40" s="1"/>
  <c r="AN40" s="1"/>
  <c r="AK39"/>
  <c r="AL39" s="1"/>
  <c r="AM39" s="1"/>
  <c r="AN39" s="1"/>
  <c r="Z39"/>
  <c r="AL36"/>
  <c r="AM36" s="1"/>
  <c r="AN36" s="1"/>
  <c r="AK36"/>
  <c r="Z22"/>
  <c r="AK19"/>
  <c r="AL19" s="1"/>
  <c r="AM19" s="1"/>
  <c r="AN19" s="1"/>
  <c r="AK18"/>
  <c r="AL18" s="1"/>
  <c r="AM18" s="1"/>
  <c r="AN18" s="1"/>
  <c r="AK16"/>
  <c r="AL16" s="1"/>
  <c r="AM16" s="1"/>
  <c r="AN16" s="1"/>
  <c r="AK15"/>
  <c r="AL15" s="1"/>
  <c r="AM15" s="1"/>
  <c r="AN15" s="1"/>
  <c r="AK91"/>
  <c r="AL91" s="1"/>
  <c r="AM91" s="1"/>
  <c r="AN91" s="1"/>
  <c r="AL90"/>
  <c r="AM90" s="1"/>
  <c r="AN90" s="1"/>
  <c r="AK88"/>
  <c r="AL88" s="1"/>
  <c r="AM88" s="1"/>
  <c r="AN88" s="1"/>
  <c r="AK87"/>
  <c r="AL87" s="1"/>
  <c r="AM87" s="1"/>
  <c r="AN87" s="1"/>
  <c r="AK70" l="1"/>
  <c r="AL70" s="1"/>
  <c r="AM70" s="1"/>
  <c r="AN70" s="1"/>
  <c r="AL69"/>
  <c r="AM69" s="1"/>
  <c r="AN69" s="1"/>
  <c r="AK67" l="1"/>
  <c r="AL67" s="1"/>
  <c r="AM67" s="1"/>
  <c r="AN67" s="1"/>
  <c r="AK66"/>
  <c r="AL66" s="1"/>
  <c r="AK49"/>
  <c r="AL49" s="1"/>
  <c r="AM49" s="1"/>
  <c r="AN49" s="1"/>
  <c r="AL48"/>
  <c r="AK46"/>
  <c r="AL46" s="1"/>
  <c r="AM46" s="1"/>
  <c r="AN46" s="1"/>
  <c r="AK45"/>
  <c r="AL45" s="1"/>
  <c r="AM45" s="1"/>
  <c r="AN45" s="1"/>
  <c r="AK28"/>
  <c r="AL28" s="1"/>
  <c r="AM28" s="1"/>
  <c r="AN28" s="1"/>
  <c r="AL27"/>
  <c r="AK25"/>
  <c r="AL25" s="1"/>
  <c r="AM25" s="1"/>
  <c r="AN25" s="1"/>
  <c r="AK24"/>
  <c r="AL24" s="1"/>
  <c r="AM24" s="1"/>
  <c r="AN24" s="1"/>
  <c r="N22"/>
  <c r="M22"/>
  <c r="N21"/>
  <c r="M21"/>
  <c r="AK10"/>
  <c r="AL10" s="1"/>
  <c r="AM10" s="1"/>
  <c r="AN10" s="1"/>
  <c r="AL9"/>
  <c r="AI96"/>
  <c r="AH96"/>
  <c r="AG96"/>
  <c r="AK97"/>
  <c r="AL97" s="1"/>
  <c r="AM97" s="1"/>
  <c r="AN97" s="1"/>
  <c r="AL93"/>
  <c r="AR83"/>
  <c r="AK73"/>
  <c r="AL73" s="1"/>
  <c r="AM73" s="1"/>
  <c r="AN73" s="1"/>
  <c r="AL72"/>
  <c r="AK52"/>
  <c r="AL52" s="1"/>
  <c r="AM52" s="1"/>
  <c r="AN52" s="1"/>
  <c r="AL51"/>
  <c r="AK31"/>
  <c r="AL31" s="1"/>
  <c r="AM31" s="1"/>
  <c r="AN31" s="1"/>
  <c r="AL30"/>
  <c r="AI31"/>
  <c r="AH31"/>
  <c r="AH32" s="1"/>
  <c r="I24" i="2" s="1"/>
  <c r="AG31" i="1"/>
  <c r="AI30"/>
  <c r="AI32" s="1"/>
  <c r="I25" i="2" s="1"/>
  <c r="AH30" i="1"/>
  <c r="AG30"/>
  <c r="AG32" s="1"/>
  <c r="I23" i="2" s="1"/>
  <c r="AK13" i="1"/>
  <c r="AK12"/>
  <c r="AL12" s="1"/>
  <c r="C103"/>
  <c r="AK96"/>
  <c r="AL96" s="1"/>
  <c r="AK84"/>
  <c r="AL84" s="1"/>
  <c r="AK78"/>
  <c r="AL78" s="1"/>
  <c r="AK62"/>
  <c r="S27" i="2" s="1"/>
  <c r="G87" i="1"/>
  <c r="G88"/>
  <c r="AZ64"/>
  <c r="AK63"/>
  <c r="AL63" s="1"/>
  <c r="AK64"/>
  <c r="AL64" s="1"/>
  <c r="AM64" s="1"/>
  <c r="AN64" s="1"/>
  <c r="G48"/>
  <c r="AK43"/>
  <c r="AL43" s="1"/>
  <c r="AM43" s="1"/>
  <c r="AK42"/>
  <c r="AL42" s="1"/>
  <c r="AK22"/>
  <c r="AL22" s="1"/>
  <c r="AM22" s="1"/>
  <c r="AN22" s="1"/>
  <c r="AK21"/>
  <c r="AL21" s="1"/>
  <c r="AM21" s="1"/>
  <c r="AN21" s="1"/>
  <c r="AK76"/>
  <c r="AL76" s="1"/>
  <c r="AM76" s="1"/>
  <c r="AN76" s="1"/>
  <c r="AK75"/>
  <c r="AL75" s="1"/>
  <c r="AK54"/>
  <c r="AL54" s="1"/>
  <c r="AM54" s="1"/>
  <c r="AN54" s="1"/>
  <c r="AK37"/>
  <c r="AL37" s="1"/>
  <c r="AM37" s="1"/>
  <c r="AN37" s="1"/>
  <c r="AL33"/>
  <c r="P13"/>
  <c r="N13"/>
  <c r="M13"/>
  <c r="AZ13"/>
  <c r="BR13" s="1"/>
  <c r="BR14" s="1"/>
  <c r="C34" i="2" s="1"/>
  <c r="AK79" i="1"/>
  <c r="AL79" s="1"/>
  <c r="AM79" s="1"/>
  <c r="G101"/>
  <c r="H101"/>
  <c r="M101"/>
  <c r="M103"/>
  <c r="N101"/>
  <c r="P101"/>
  <c r="T101"/>
  <c r="U101"/>
  <c r="V101"/>
  <c r="W101"/>
  <c r="AG101"/>
  <c r="AH101"/>
  <c r="AI101"/>
  <c r="AL101"/>
  <c r="AZ101"/>
  <c r="BC101"/>
  <c r="BD101"/>
  <c r="BR101"/>
  <c r="G102"/>
  <c r="H102"/>
  <c r="AF6" i="2"/>
  <c r="M102" i="1"/>
  <c r="N102"/>
  <c r="P102"/>
  <c r="T102"/>
  <c r="U102"/>
  <c r="W102"/>
  <c r="AG102"/>
  <c r="AH102"/>
  <c r="AH103"/>
  <c r="AI102"/>
  <c r="AK102"/>
  <c r="AL102"/>
  <c r="AZ102"/>
  <c r="BR102"/>
  <c r="AF34" i="2"/>
  <c r="AK94" i="1"/>
  <c r="AL94" s="1"/>
  <c r="AM94" s="1"/>
  <c r="AN94" s="1"/>
  <c r="BD25"/>
  <c r="C62"/>
  <c r="AZ67"/>
  <c r="BR67"/>
  <c r="BR68" s="1"/>
  <c r="U34" i="2" s="1"/>
  <c r="AI67" i="1"/>
  <c r="AH67"/>
  <c r="AG67"/>
  <c r="N67"/>
  <c r="M67"/>
  <c r="H67"/>
  <c r="G67"/>
  <c r="BD66"/>
  <c r="BC66"/>
  <c r="BR66"/>
  <c r="AZ66"/>
  <c r="AI66"/>
  <c r="AH66"/>
  <c r="AG66"/>
  <c r="N66"/>
  <c r="M66"/>
  <c r="H66"/>
  <c r="G66"/>
  <c r="BA56"/>
  <c r="H30"/>
  <c r="G30"/>
  <c r="BA86"/>
  <c r="H82"/>
  <c r="G82"/>
  <c r="H81"/>
  <c r="G81"/>
  <c r="G83" s="1"/>
  <c r="Z5" i="2" s="1"/>
  <c r="BA77" i="1"/>
  <c r="X31" i="2"/>
  <c r="BA65" i="1"/>
  <c r="AZ61"/>
  <c r="BR61"/>
  <c r="BR62" s="1"/>
  <c r="S34" i="2" s="1"/>
  <c r="AI61" i="1"/>
  <c r="AH61"/>
  <c r="AG61"/>
  <c r="W61"/>
  <c r="W62"/>
  <c r="S16" i="2"/>
  <c r="U61" i="1"/>
  <c r="T61"/>
  <c r="P61"/>
  <c r="N61"/>
  <c r="M61"/>
  <c r="H61"/>
  <c r="BA59"/>
  <c r="H90"/>
  <c r="H87"/>
  <c r="AK85"/>
  <c r="AL85"/>
  <c r="P82"/>
  <c r="N82"/>
  <c r="M82"/>
  <c r="P81"/>
  <c r="N81"/>
  <c r="M81"/>
  <c r="O81" s="1"/>
  <c r="BA74"/>
  <c r="BA71"/>
  <c r="H70"/>
  <c r="H71" s="1"/>
  <c r="V6" i="2" s="1"/>
  <c r="G70" i="1"/>
  <c r="H69"/>
  <c r="G69"/>
  <c r="BA68"/>
  <c r="U31" i="2"/>
  <c r="BA50" i="1"/>
  <c r="O31" i="2"/>
  <c r="E98" i="1"/>
  <c r="AE3" i="2"/>
  <c r="N97" i="1"/>
  <c r="M97"/>
  <c r="N96"/>
  <c r="N98" s="1"/>
  <c r="AE10" i="2" s="1"/>
  <c r="M96" i="1"/>
  <c r="H97"/>
  <c r="G97"/>
  <c r="H96"/>
  <c r="G96"/>
  <c r="N91"/>
  <c r="N92" s="1"/>
  <c r="AC10" i="2" s="1"/>
  <c r="M91" i="1"/>
  <c r="N90"/>
  <c r="M90"/>
  <c r="H91"/>
  <c r="G91"/>
  <c r="N70"/>
  <c r="M70"/>
  <c r="N69"/>
  <c r="N71" s="1"/>
  <c r="V10" i="2" s="1"/>
  <c r="M69" i="1"/>
  <c r="O69"/>
  <c r="H55"/>
  <c r="G55"/>
  <c r="H54"/>
  <c r="H56" s="1"/>
  <c r="Q6" i="2" s="1"/>
  <c r="G54" i="1"/>
  <c r="AG51"/>
  <c r="H52"/>
  <c r="G52"/>
  <c r="H51"/>
  <c r="G51"/>
  <c r="H49"/>
  <c r="G49"/>
  <c r="H48"/>
  <c r="H50" s="1"/>
  <c r="O6" i="2" s="1"/>
  <c r="BQ74" i="1"/>
  <c r="BP74"/>
  <c r="BO74"/>
  <c r="BN74"/>
  <c r="BM74"/>
  <c r="BL74"/>
  <c r="BK74"/>
  <c r="BJ74"/>
  <c r="BI74"/>
  <c r="BH74"/>
  <c r="BG74"/>
  <c r="BF74"/>
  <c r="BE74"/>
  <c r="BB74"/>
  <c r="AY74"/>
  <c r="AX74"/>
  <c r="AW74"/>
  <c r="AV74"/>
  <c r="AU74"/>
  <c r="AT74"/>
  <c r="AS74"/>
  <c r="AR74"/>
  <c r="AQ74"/>
  <c r="AP74"/>
  <c r="AO74"/>
  <c r="AJ74"/>
  <c r="Y74"/>
  <c r="W74"/>
  <c r="V74"/>
  <c r="U74"/>
  <c r="T74"/>
  <c r="S74"/>
  <c r="R74"/>
  <c r="P74"/>
  <c r="L74"/>
  <c r="K74"/>
  <c r="J74"/>
  <c r="I74"/>
  <c r="E74"/>
  <c r="D74"/>
  <c r="C74"/>
  <c r="BQ71"/>
  <c r="BP71"/>
  <c r="BO71"/>
  <c r="BN71"/>
  <c r="BM71"/>
  <c r="BL71"/>
  <c r="BK71"/>
  <c r="BJ71"/>
  <c r="BI71"/>
  <c r="BH71"/>
  <c r="BG71"/>
  <c r="BF71"/>
  <c r="BE71"/>
  <c r="BB71"/>
  <c r="AY71"/>
  <c r="AX71"/>
  <c r="AW71"/>
  <c r="AV71"/>
  <c r="AU71"/>
  <c r="AT71"/>
  <c r="AS71"/>
  <c r="AR71"/>
  <c r="AQ71"/>
  <c r="AP71"/>
  <c r="AO71"/>
  <c r="AJ71"/>
  <c r="Y71"/>
  <c r="W71"/>
  <c r="V71"/>
  <c r="U71"/>
  <c r="T71"/>
  <c r="S71"/>
  <c r="R71"/>
  <c r="P71"/>
  <c r="L71"/>
  <c r="K71"/>
  <c r="J71"/>
  <c r="I71"/>
  <c r="E71"/>
  <c r="V3" i="2" s="1"/>
  <c r="D71" i="1"/>
  <c r="C71"/>
  <c r="BQ68"/>
  <c r="BP68"/>
  <c r="BO68"/>
  <c r="BN68"/>
  <c r="BM68"/>
  <c r="BL68"/>
  <c r="BK68"/>
  <c r="BJ68"/>
  <c r="BI68"/>
  <c r="BH68"/>
  <c r="BG68"/>
  <c r="BF68"/>
  <c r="BE68"/>
  <c r="BB68"/>
  <c r="AY68"/>
  <c r="AX68"/>
  <c r="AW68"/>
  <c r="AV68"/>
  <c r="AU68"/>
  <c r="AT68"/>
  <c r="AS68"/>
  <c r="AR68"/>
  <c r="AQ68"/>
  <c r="AP68"/>
  <c r="AO68"/>
  <c r="AJ68"/>
  <c r="Y68"/>
  <c r="U17" i="2"/>
  <c r="W68" i="1"/>
  <c r="V68"/>
  <c r="U68"/>
  <c r="T68"/>
  <c r="U13" i="2"/>
  <c r="S68" i="1"/>
  <c r="R68"/>
  <c r="P68"/>
  <c r="L68"/>
  <c r="K68"/>
  <c r="J68"/>
  <c r="U8" i="2"/>
  <c r="I68" i="1"/>
  <c r="E68"/>
  <c r="U3" i="2" s="1"/>
  <c r="D68" i="1"/>
  <c r="C68"/>
  <c r="BQ65"/>
  <c r="BP65"/>
  <c r="BO65"/>
  <c r="BN65"/>
  <c r="BM65"/>
  <c r="BL65"/>
  <c r="BK65"/>
  <c r="BJ65"/>
  <c r="BI65"/>
  <c r="BG65"/>
  <c r="BF65"/>
  <c r="BE65"/>
  <c r="BB65"/>
  <c r="AY65"/>
  <c r="AX65"/>
  <c r="AW65"/>
  <c r="AV65"/>
  <c r="AU65"/>
  <c r="AT65"/>
  <c r="AS65"/>
  <c r="AR65"/>
  <c r="AQ65"/>
  <c r="AP65"/>
  <c r="AO65"/>
  <c r="AJ65"/>
  <c r="Y65"/>
  <c r="W65"/>
  <c r="T16" i="2"/>
  <c r="V65" i="1"/>
  <c r="U65"/>
  <c r="T65"/>
  <c r="S65"/>
  <c r="R65"/>
  <c r="P65"/>
  <c r="L65"/>
  <c r="K65"/>
  <c r="J65"/>
  <c r="T8" i="2"/>
  <c r="I65" i="1"/>
  <c r="E65"/>
  <c r="T3" i="2" s="1"/>
  <c r="D65" i="1"/>
  <c r="C65"/>
  <c r="BQ62"/>
  <c r="BP62"/>
  <c r="BO62"/>
  <c r="BN62"/>
  <c r="BM62"/>
  <c r="BL62"/>
  <c r="BK62"/>
  <c r="BJ62"/>
  <c r="BI62"/>
  <c r="BH62"/>
  <c r="BG62"/>
  <c r="BF62"/>
  <c r="BE62"/>
  <c r="BB62"/>
  <c r="BA62"/>
  <c r="S31" i="2" s="1"/>
  <c r="AY62" i="1"/>
  <c r="AX62"/>
  <c r="AW62"/>
  <c r="AV62"/>
  <c r="AU62"/>
  <c r="AT62"/>
  <c r="AS62"/>
  <c r="AR62"/>
  <c r="AQ62"/>
  <c r="AP62"/>
  <c r="AO62"/>
  <c r="AJ62"/>
  <c r="Y62"/>
  <c r="U62"/>
  <c r="S62"/>
  <c r="R62"/>
  <c r="P62"/>
  <c r="S12" i="2"/>
  <c r="L62" i="1"/>
  <c r="K62"/>
  <c r="J62"/>
  <c r="I62"/>
  <c r="E62"/>
  <c r="S3" i="2" s="1"/>
  <c r="D62" i="1"/>
  <c r="BQ59"/>
  <c r="BP59"/>
  <c r="BO59"/>
  <c r="BN59"/>
  <c r="BM59"/>
  <c r="BL59"/>
  <c r="BK59"/>
  <c r="BJ59"/>
  <c r="BI59"/>
  <c r="BH59"/>
  <c r="BG59"/>
  <c r="BF59"/>
  <c r="BE59"/>
  <c r="BB59"/>
  <c r="AY59"/>
  <c r="AX59"/>
  <c r="AW59"/>
  <c r="AV59"/>
  <c r="AU59"/>
  <c r="AT59"/>
  <c r="AS59"/>
  <c r="AR59"/>
  <c r="AQ59"/>
  <c r="AP59"/>
  <c r="AO59"/>
  <c r="AJ59"/>
  <c r="Y59"/>
  <c r="S59"/>
  <c r="R59"/>
  <c r="L59"/>
  <c r="K59"/>
  <c r="J59"/>
  <c r="I59"/>
  <c r="G59"/>
  <c r="E59"/>
  <c r="R3" i="2" s="1"/>
  <c r="D59" i="1"/>
  <c r="C59"/>
  <c r="BQ56"/>
  <c r="BP56"/>
  <c r="BO56"/>
  <c r="BN56"/>
  <c r="BM56"/>
  <c r="BL56"/>
  <c r="BK56"/>
  <c r="BJ56"/>
  <c r="BI56"/>
  <c r="BH56"/>
  <c r="BG56"/>
  <c r="BF56"/>
  <c r="BE56"/>
  <c r="BB56"/>
  <c r="AY56"/>
  <c r="AX56"/>
  <c r="AW56"/>
  <c r="AV56"/>
  <c r="AU56"/>
  <c r="AT56"/>
  <c r="AS56"/>
  <c r="AR56"/>
  <c r="AQ56"/>
  <c r="AP56"/>
  <c r="AO56"/>
  <c r="AJ56"/>
  <c r="Y56"/>
  <c r="W56"/>
  <c r="V56"/>
  <c r="U56"/>
  <c r="T56"/>
  <c r="S56"/>
  <c r="R56"/>
  <c r="P56"/>
  <c r="L56"/>
  <c r="K56"/>
  <c r="J56"/>
  <c r="I56"/>
  <c r="E56"/>
  <c r="Q3" i="2" s="1"/>
  <c r="D56" i="1"/>
  <c r="C56"/>
  <c r="BQ53"/>
  <c r="BP53"/>
  <c r="BO53"/>
  <c r="BN53"/>
  <c r="BM53"/>
  <c r="BL53"/>
  <c r="BK53"/>
  <c r="BJ53"/>
  <c r="BI53"/>
  <c r="BH53"/>
  <c r="BG53"/>
  <c r="BF53"/>
  <c r="BE53"/>
  <c r="BB53"/>
  <c r="BA53"/>
  <c r="AY53"/>
  <c r="AX53"/>
  <c r="AW53"/>
  <c r="AV53"/>
  <c r="AU53"/>
  <c r="AT53"/>
  <c r="AS53"/>
  <c r="AR53"/>
  <c r="AQ53"/>
  <c r="AP53"/>
  <c r="AO53"/>
  <c r="AJ53"/>
  <c r="Y53"/>
  <c r="W53"/>
  <c r="V53"/>
  <c r="U53"/>
  <c r="T53"/>
  <c r="S53"/>
  <c r="R53"/>
  <c r="P53"/>
  <c r="L53"/>
  <c r="K53"/>
  <c r="J53"/>
  <c r="I53"/>
  <c r="P7" i="2" s="1"/>
  <c r="E53" i="1"/>
  <c r="P3" i="2" s="1"/>
  <c r="D53" i="1"/>
  <c r="C53"/>
  <c r="BQ50"/>
  <c r="BP50"/>
  <c r="BO50"/>
  <c r="BN50"/>
  <c r="BM50"/>
  <c r="BL50"/>
  <c r="BK50"/>
  <c r="BJ50"/>
  <c r="BI50"/>
  <c r="BH50"/>
  <c r="BG50"/>
  <c r="BF50"/>
  <c r="BE50"/>
  <c r="BB50"/>
  <c r="AY50"/>
  <c r="AX50"/>
  <c r="AW50"/>
  <c r="AV50"/>
  <c r="AU50"/>
  <c r="AT50"/>
  <c r="AS50"/>
  <c r="AR50"/>
  <c r="AQ50"/>
  <c r="AP50"/>
  <c r="AO50"/>
  <c r="AJ50"/>
  <c r="Y50"/>
  <c r="W50"/>
  <c r="V50"/>
  <c r="U50"/>
  <c r="T50"/>
  <c r="S50"/>
  <c r="R50"/>
  <c r="P50"/>
  <c r="L50"/>
  <c r="K50"/>
  <c r="J50"/>
  <c r="I50"/>
  <c r="E50"/>
  <c r="O3" i="2" s="1"/>
  <c r="D50" i="1"/>
  <c r="C50"/>
  <c r="BQ47"/>
  <c r="BP47"/>
  <c r="BO47"/>
  <c r="BN47"/>
  <c r="BM47"/>
  <c r="BL47"/>
  <c r="BK47"/>
  <c r="BJ47"/>
  <c r="BI47"/>
  <c r="BH47"/>
  <c r="BG47"/>
  <c r="BF47"/>
  <c r="BE47"/>
  <c r="BB47"/>
  <c r="BA47"/>
  <c r="AY47"/>
  <c r="AX47"/>
  <c r="AW47"/>
  <c r="AV47"/>
  <c r="AU47"/>
  <c r="AT47"/>
  <c r="AS47"/>
  <c r="AR47"/>
  <c r="AQ47"/>
  <c r="AP47"/>
  <c r="AO47"/>
  <c r="AJ47"/>
  <c r="N26" i="2"/>
  <c r="Y47" i="1"/>
  <c r="W47"/>
  <c r="V47"/>
  <c r="U47"/>
  <c r="T47"/>
  <c r="N13" i="2"/>
  <c r="S47" i="1"/>
  <c r="R47"/>
  <c r="P47"/>
  <c r="L47"/>
  <c r="K47"/>
  <c r="J47"/>
  <c r="I47"/>
  <c r="N7" i="2" s="1"/>
  <c r="E47" i="1"/>
  <c r="N3" i="2" s="1"/>
  <c r="D47" i="1"/>
  <c r="C47"/>
  <c r="BQ44"/>
  <c r="BP44"/>
  <c r="BO44"/>
  <c r="BN44"/>
  <c r="BM44"/>
  <c r="BL44"/>
  <c r="BK44"/>
  <c r="BJ44"/>
  <c r="BI44"/>
  <c r="BH44"/>
  <c r="BG44"/>
  <c r="BF44"/>
  <c r="BE44"/>
  <c r="BB44"/>
  <c r="BA44"/>
  <c r="AY44"/>
  <c r="AX44"/>
  <c r="AW44"/>
  <c r="AV44"/>
  <c r="AU44"/>
  <c r="AT44"/>
  <c r="AS44"/>
  <c r="AR44"/>
  <c r="AQ44"/>
  <c r="AP44"/>
  <c r="AO44"/>
  <c r="AJ44"/>
  <c r="Y44"/>
  <c r="W44"/>
  <c r="V44"/>
  <c r="U44"/>
  <c r="T44"/>
  <c r="S44"/>
  <c r="R44"/>
  <c r="P44"/>
  <c r="L44"/>
  <c r="K44"/>
  <c r="J44"/>
  <c r="I44"/>
  <c r="E44"/>
  <c r="M3" i="2" s="1"/>
  <c r="D44" i="1"/>
  <c r="C44"/>
  <c r="L41"/>
  <c r="K41"/>
  <c r="J41"/>
  <c r="I41"/>
  <c r="L38"/>
  <c r="K38"/>
  <c r="J38"/>
  <c r="I38"/>
  <c r="K11"/>
  <c r="K14"/>
  <c r="N14" s="1"/>
  <c r="K17"/>
  <c r="M17" s="1"/>
  <c r="K20"/>
  <c r="K23"/>
  <c r="K29"/>
  <c r="K32"/>
  <c r="H40"/>
  <c r="G40"/>
  <c r="H39"/>
  <c r="H41"/>
  <c r="L6" i="2" s="1"/>
  <c r="G39" i="1"/>
  <c r="H34"/>
  <c r="G34"/>
  <c r="H33"/>
  <c r="H35" s="1"/>
  <c r="J6" i="2" s="1"/>
  <c r="G33" i="1"/>
  <c r="G35"/>
  <c r="J5" i="2" s="1"/>
  <c r="H31" i="1"/>
  <c r="H32" s="1"/>
  <c r="I6" i="2" s="1"/>
  <c r="G31" i="1"/>
  <c r="G32"/>
  <c r="N31"/>
  <c r="M31"/>
  <c r="O31" s="1"/>
  <c r="N30"/>
  <c r="N32" s="1"/>
  <c r="I10" i="2" s="1"/>
  <c r="M30" i="1"/>
  <c r="N28"/>
  <c r="M28"/>
  <c r="O28" s="1"/>
  <c r="N27"/>
  <c r="M27"/>
  <c r="H28"/>
  <c r="G28"/>
  <c r="H27"/>
  <c r="G27"/>
  <c r="N12"/>
  <c r="M12"/>
  <c r="N94"/>
  <c r="M94"/>
  <c r="N93"/>
  <c r="N95"/>
  <c r="M93"/>
  <c r="M95"/>
  <c r="H94"/>
  <c r="G94"/>
  <c r="H93"/>
  <c r="G93"/>
  <c r="G95" s="1"/>
  <c r="AD5" i="2" s="1"/>
  <c r="N88" i="1"/>
  <c r="M88"/>
  <c r="N87"/>
  <c r="M87"/>
  <c r="H88"/>
  <c r="N85"/>
  <c r="M85"/>
  <c r="N84"/>
  <c r="M84"/>
  <c r="H85"/>
  <c r="G85"/>
  <c r="H84"/>
  <c r="H86" s="1"/>
  <c r="AA6" i="2" s="1"/>
  <c r="G84" i="1"/>
  <c r="N76"/>
  <c r="M76"/>
  <c r="N75"/>
  <c r="M75"/>
  <c r="H76"/>
  <c r="G76"/>
  <c r="H75"/>
  <c r="H77" s="1"/>
  <c r="X6" i="2" s="1"/>
  <c r="G75" i="1"/>
  <c r="N73"/>
  <c r="M73"/>
  <c r="H73"/>
  <c r="G73"/>
  <c r="N72"/>
  <c r="N74" s="1"/>
  <c r="W10" i="2" s="1"/>
  <c r="M72" i="1"/>
  <c r="M74" s="1"/>
  <c r="W9" i="2" s="1"/>
  <c r="H72" i="1"/>
  <c r="G72"/>
  <c r="G74" s="1"/>
  <c r="W5" i="2" s="1"/>
  <c r="N64" i="1"/>
  <c r="M64"/>
  <c r="O64"/>
  <c r="N63"/>
  <c r="M63"/>
  <c r="H64"/>
  <c r="G64"/>
  <c r="H63"/>
  <c r="H65" s="1"/>
  <c r="T6" i="2" s="1"/>
  <c r="G63" i="1"/>
  <c r="G65" s="1"/>
  <c r="T5" i="2" s="1"/>
  <c r="N60" i="1"/>
  <c r="N62" s="1"/>
  <c r="S10" i="2" s="1"/>
  <c r="M60" i="1"/>
  <c r="H60"/>
  <c r="H62" s="1"/>
  <c r="S6" i="2" s="1"/>
  <c r="G62" i="1"/>
  <c r="AK55"/>
  <c r="AL55" s="1"/>
  <c r="N55"/>
  <c r="M55"/>
  <c r="N54"/>
  <c r="M54"/>
  <c r="M56" s="1"/>
  <c r="Q9" i="2" s="1"/>
  <c r="N49" i="1"/>
  <c r="M49"/>
  <c r="N48"/>
  <c r="N50" s="1"/>
  <c r="O10" i="2" s="1"/>
  <c r="M48" i="1"/>
  <c r="AG45"/>
  <c r="AH45"/>
  <c r="AI45"/>
  <c r="N52"/>
  <c r="M52"/>
  <c r="O52" s="1"/>
  <c r="N51"/>
  <c r="M51"/>
  <c r="O51" s="1"/>
  <c r="N46"/>
  <c r="M46"/>
  <c r="N45"/>
  <c r="M45"/>
  <c r="H46"/>
  <c r="G46"/>
  <c r="G47" s="1"/>
  <c r="N5" i="2" s="1"/>
  <c r="H45" i="1"/>
  <c r="N42"/>
  <c r="M42"/>
  <c r="N43"/>
  <c r="M43"/>
  <c r="H43"/>
  <c r="G43"/>
  <c r="H42"/>
  <c r="H44" s="1"/>
  <c r="M6" i="2" s="1"/>
  <c r="G42" i="1"/>
  <c r="N40"/>
  <c r="M40"/>
  <c r="N39"/>
  <c r="N41" s="1"/>
  <c r="L10" i="2" s="1"/>
  <c r="M39" i="1"/>
  <c r="O39" s="1"/>
  <c r="N34"/>
  <c r="M34"/>
  <c r="N33"/>
  <c r="M33"/>
  <c r="N25"/>
  <c r="M25"/>
  <c r="N24"/>
  <c r="M24"/>
  <c r="M26" s="1"/>
  <c r="G9" i="2" s="1"/>
  <c r="H25" i="1"/>
  <c r="G25"/>
  <c r="G26" s="1"/>
  <c r="G5" i="2" s="1"/>
  <c r="H24" i="1"/>
  <c r="H26" s="1"/>
  <c r="G24"/>
  <c r="N23"/>
  <c r="F10" i="2" s="1"/>
  <c r="H22" i="1"/>
  <c r="G22"/>
  <c r="H21"/>
  <c r="H23" s="1"/>
  <c r="F6" i="2" s="1"/>
  <c r="G21" i="1"/>
  <c r="G23" s="1"/>
  <c r="F5" i="2" s="1"/>
  <c r="N19" i="1"/>
  <c r="M19"/>
  <c r="N18"/>
  <c r="M18"/>
  <c r="H19"/>
  <c r="G19"/>
  <c r="H18"/>
  <c r="H20" s="1"/>
  <c r="E6" i="2" s="1"/>
  <c r="G18" i="1"/>
  <c r="G20" s="1"/>
  <c r="E5" i="2" s="1"/>
  <c r="H13" i="1"/>
  <c r="G13"/>
  <c r="H12"/>
  <c r="H14" s="1"/>
  <c r="C6" i="2" s="1"/>
  <c r="G12" i="1"/>
  <c r="G14" s="1"/>
  <c r="C11"/>
  <c r="D11"/>
  <c r="E11"/>
  <c r="B3" i="2" s="1"/>
  <c r="A12" i="1"/>
  <c r="A15" s="1"/>
  <c r="C14"/>
  <c r="D14"/>
  <c r="E14"/>
  <c r="C3" i="2" s="1"/>
  <c r="C17" i="1"/>
  <c r="D17"/>
  <c r="E17"/>
  <c r="D3" i="2" s="1"/>
  <c r="C20" i="1"/>
  <c r="D20"/>
  <c r="E20"/>
  <c r="E3" i="2" s="1"/>
  <c r="C23" i="1"/>
  <c r="D23"/>
  <c r="E23"/>
  <c r="C26"/>
  <c r="D26"/>
  <c r="E26"/>
  <c r="G3" i="2" s="1"/>
  <c r="C29" i="1"/>
  <c r="D29"/>
  <c r="E29"/>
  <c r="C32"/>
  <c r="D32"/>
  <c r="E32"/>
  <c r="I3" i="2" s="1"/>
  <c r="C35" i="1"/>
  <c r="D35"/>
  <c r="E35"/>
  <c r="J3" i="2" s="1"/>
  <c r="C38" i="1"/>
  <c r="D38"/>
  <c r="E38"/>
  <c r="C41"/>
  <c r="D41"/>
  <c r="E41"/>
  <c r="L3" i="2" s="1"/>
  <c r="C77" i="1"/>
  <c r="D77"/>
  <c r="E77"/>
  <c r="X3" i="2" s="1"/>
  <c r="C80" i="1"/>
  <c r="D80"/>
  <c r="E80"/>
  <c r="C83"/>
  <c r="D83"/>
  <c r="E83"/>
  <c r="Z3" i="2" s="1"/>
  <c r="C86" i="1"/>
  <c r="D86"/>
  <c r="E86"/>
  <c r="AA3" i="2" s="1"/>
  <c r="C89" i="1"/>
  <c r="D89"/>
  <c r="E89"/>
  <c r="AB3" i="2" s="1"/>
  <c r="C92" i="1"/>
  <c r="D92"/>
  <c r="E92"/>
  <c r="C95"/>
  <c r="D95"/>
  <c r="E95"/>
  <c r="AD3" i="2"/>
  <c r="C98" i="1"/>
  <c r="D98"/>
  <c r="F24" i="5"/>
  <c r="AP41" i="1"/>
  <c r="AZ43"/>
  <c r="AI43"/>
  <c r="AH43"/>
  <c r="AG43"/>
  <c r="BD42"/>
  <c r="BD44"/>
  <c r="BC42"/>
  <c r="BC44"/>
  <c r="AZ42"/>
  <c r="BR42"/>
  <c r="AI42"/>
  <c r="AH42"/>
  <c r="AG42"/>
  <c r="M15" i="2"/>
  <c r="W16" i="1"/>
  <c r="U16"/>
  <c r="T16"/>
  <c r="P16"/>
  <c r="N16"/>
  <c r="M16"/>
  <c r="H16"/>
  <c r="G16"/>
  <c r="Y35"/>
  <c r="X35"/>
  <c r="S35"/>
  <c r="R35"/>
  <c r="Q35"/>
  <c r="L35"/>
  <c r="K35"/>
  <c r="J35"/>
  <c r="I35"/>
  <c r="AZ97"/>
  <c r="BR97"/>
  <c r="AI97"/>
  <c r="AH97"/>
  <c r="AG97"/>
  <c r="BD96"/>
  <c r="BC96"/>
  <c r="BC98"/>
  <c r="AZ96"/>
  <c r="BR96"/>
  <c r="AI98"/>
  <c r="AE25" i="2" s="1"/>
  <c r="V98" i="1"/>
  <c r="H98"/>
  <c r="AE6" i="2" s="1"/>
  <c r="BQ103" i="1"/>
  <c r="BP103"/>
  <c r="BO103"/>
  <c r="BN103"/>
  <c r="BM103"/>
  <c r="BL103"/>
  <c r="BK103"/>
  <c r="BJ103"/>
  <c r="BI103"/>
  <c r="BH103"/>
  <c r="BG103"/>
  <c r="BF103"/>
  <c r="BE103"/>
  <c r="BB103"/>
  <c r="AY103"/>
  <c r="AX103"/>
  <c r="AW103"/>
  <c r="AV103"/>
  <c r="AU103"/>
  <c r="AT103"/>
  <c r="AS103"/>
  <c r="AR103"/>
  <c r="AQ103"/>
  <c r="AP103"/>
  <c r="AO103"/>
  <c r="AJ103"/>
  <c r="Y103"/>
  <c r="S103"/>
  <c r="R103"/>
  <c r="L103"/>
  <c r="J103"/>
  <c r="I103"/>
  <c r="E103"/>
  <c r="D103"/>
  <c r="AF25" i="2"/>
  <c r="AF5"/>
  <c r="BD103" i="1"/>
  <c r="BC103"/>
  <c r="W103"/>
  <c r="T103"/>
  <c r="N103"/>
  <c r="H103"/>
  <c r="I98"/>
  <c r="J98"/>
  <c r="L98"/>
  <c r="P98"/>
  <c r="R98"/>
  <c r="S98"/>
  <c r="T98"/>
  <c r="U98"/>
  <c r="AE14" i="2"/>
  <c r="W98" i="1"/>
  <c r="AE16" i="2"/>
  <c r="Y98" i="1"/>
  <c r="AJ98"/>
  <c r="AO98"/>
  <c r="AP98"/>
  <c r="AQ98"/>
  <c r="AR98"/>
  <c r="AS98"/>
  <c r="AT98"/>
  <c r="AU98"/>
  <c r="AV98"/>
  <c r="AW98"/>
  <c r="AX98"/>
  <c r="AY98"/>
  <c r="BA98"/>
  <c r="AE31" i="2"/>
  <c r="BB98" i="1"/>
  <c r="BD98"/>
  <c r="AE33" i="2"/>
  <c r="BE98" i="1"/>
  <c r="BF98"/>
  <c r="BG98"/>
  <c r="BH98"/>
  <c r="BI98"/>
  <c r="BJ98"/>
  <c r="BK98"/>
  <c r="BL98"/>
  <c r="BM98"/>
  <c r="BN98"/>
  <c r="BO98"/>
  <c r="BP98"/>
  <c r="BQ98"/>
  <c r="G99"/>
  <c r="H99"/>
  <c r="M99"/>
  <c r="N99"/>
  <c r="P99"/>
  <c r="T99"/>
  <c r="U99"/>
  <c r="W99"/>
  <c r="AG99"/>
  <c r="AH99"/>
  <c r="AI99"/>
  <c r="AK99"/>
  <c r="AL99"/>
  <c r="AM99" s="1"/>
  <c r="AN99" s="1"/>
  <c r="AZ99"/>
  <c r="BC99"/>
  <c r="BD99"/>
  <c r="AE26" i="2"/>
  <c r="G100" i="1"/>
  <c r="H100"/>
  <c r="M100"/>
  <c r="N100"/>
  <c r="P100"/>
  <c r="AF12" i="2"/>
  <c r="T100" i="1"/>
  <c r="U100"/>
  <c r="W100"/>
  <c r="AG100"/>
  <c r="AH100"/>
  <c r="AI100"/>
  <c r="AK100"/>
  <c r="AL100"/>
  <c r="AM100" s="1"/>
  <c r="AN100" s="1"/>
  <c r="AZ100"/>
  <c r="BR100" s="1"/>
  <c r="AF9" i="2"/>
  <c r="AF17"/>
  <c r="AF26"/>
  <c r="AF32"/>
  <c r="M92" i="1"/>
  <c r="AZ82"/>
  <c r="BR82" s="1"/>
  <c r="BR83" s="1"/>
  <c r="Z34" i="2" s="1"/>
  <c r="AI82" i="1"/>
  <c r="AH82"/>
  <c r="AG82"/>
  <c r="N79"/>
  <c r="M79"/>
  <c r="O79" s="1"/>
  <c r="N78"/>
  <c r="N80" s="1"/>
  <c r="Y10" i="2" s="1"/>
  <c r="M78" i="1"/>
  <c r="N58"/>
  <c r="M58"/>
  <c r="O58" s="1"/>
  <c r="N57"/>
  <c r="N59"/>
  <c r="R10" i="2" s="1"/>
  <c r="M57" i="1"/>
  <c r="O57" s="1"/>
  <c r="N37"/>
  <c r="M37"/>
  <c r="N36"/>
  <c r="M36"/>
  <c r="M38" s="1"/>
  <c r="K9" i="2" s="1"/>
  <c r="AN23" i="1"/>
  <c r="P15"/>
  <c r="N15"/>
  <c r="M15"/>
  <c r="M10"/>
  <c r="N10"/>
  <c r="O10"/>
  <c r="P10"/>
  <c r="BA80"/>
  <c r="Y31" i="2" s="1"/>
  <c r="AZ76" i="1"/>
  <c r="BR76" s="1"/>
  <c r="BR77" s="1"/>
  <c r="X34" i="2" s="1"/>
  <c r="AI76" i="1"/>
  <c r="AH76"/>
  <c r="AG76"/>
  <c r="BD75"/>
  <c r="BC75"/>
  <c r="BC77"/>
  <c r="AZ75"/>
  <c r="AI75"/>
  <c r="AI77" s="1"/>
  <c r="X25" i="2" s="1"/>
  <c r="AH75" i="1"/>
  <c r="AG75"/>
  <c r="AG77" s="1"/>
  <c r="X23" i="2" s="1"/>
  <c r="BF95" i="1"/>
  <c r="BF92"/>
  <c r="BF89"/>
  <c r="BF86"/>
  <c r="BF83"/>
  <c r="BF80"/>
  <c r="BF77"/>
  <c r="BF41"/>
  <c r="BF38"/>
  <c r="BF35"/>
  <c r="BF32"/>
  <c r="BF29"/>
  <c r="BF26"/>
  <c r="BF23"/>
  <c r="BF20"/>
  <c r="BF17"/>
  <c r="BF14"/>
  <c r="BF11"/>
  <c r="BF105"/>
  <c r="BD9"/>
  <c r="AZ9"/>
  <c r="AU95"/>
  <c r="AU92"/>
  <c r="AU89"/>
  <c r="AU86"/>
  <c r="AU83"/>
  <c r="AU80"/>
  <c r="AU77"/>
  <c r="AU41"/>
  <c r="AU38"/>
  <c r="AU35"/>
  <c r="AU32"/>
  <c r="AU29"/>
  <c r="AU26"/>
  <c r="AU23"/>
  <c r="AU20"/>
  <c r="AU17"/>
  <c r="AU14"/>
  <c r="AU11"/>
  <c r="C26" i="3"/>
  <c r="E26" s="1"/>
  <c r="C23"/>
  <c r="E23" s="1"/>
  <c r="BD93" i="1"/>
  <c r="BC93"/>
  <c r="BC95"/>
  <c r="BD90"/>
  <c r="BC90"/>
  <c r="BC92"/>
  <c r="BD87"/>
  <c r="BD89"/>
  <c r="BC87"/>
  <c r="BC89"/>
  <c r="BD84"/>
  <c r="BD86"/>
  <c r="BC84"/>
  <c r="BC86"/>
  <c r="BD81"/>
  <c r="BC81"/>
  <c r="BC83"/>
  <c r="BD78"/>
  <c r="BC78"/>
  <c r="BC80"/>
  <c r="BD73"/>
  <c r="BD74" s="1"/>
  <c r="BC73"/>
  <c r="BC74" s="1"/>
  <c r="BC105" s="1"/>
  <c r="C108" s="1"/>
  <c r="BD72"/>
  <c r="BC72"/>
  <c r="BD69"/>
  <c r="BD71"/>
  <c r="BC69"/>
  <c r="BC71"/>
  <c r="BD68"/>
  <c r="BC68"/>
  <c r="BD63"/>
  <c r="BD65"/>
  <c r="BC63"/>
  <c r="BC65"/>
  <c r="BD60"/>
  <c r="BD62"/>
  <c r="BC60"/>
  <c r="BC62"/>
  <c r="BD57"/>
  <c r="BD59"/>
  <c r="BC57"/>
  <c r="BC59"/>
  <c r="BD54"/>
  <c r="BD56"/>
  <c r="BC54"/>
  <c r="BC56"/>
  <c r="BD51"/>
  <c r="BD53"/>
  <c r="BC51"/>
  <c r="BC53"/>
  <c r="BD48"/>
  <c r="BD50"/>
  <c r="BC48"/>
  <c r="BC50"/>
  <c r="BD45"/>
  <c r="BD47"/>
  <c r="BC45"/>
  <c r="BC47"/>
  <c r="BD39"/>
  <c r="BC39"/>
  <c r="BC41"/>
  <c r="BD36"/>
  <c r="BC36"/>
  <c r="BC38"/>
  <c r="BD33"/>
  <c r="BC33"/>
  <c r="BC35"/>
  <c r="BD30"/>
  <c r="BC30"/>
  <c r="BC32"/>
  <c r="BD28"/>
  <c r="BD27"/>
  <c r="BC27"/>
  <c r="BC29"/>
  <c r="BC25"/>
  <c r="BD24"/>
  <c r="BC24"/>
  <c r="BC26"/>
  <c r="BD21"/>
  <c r="BC21"/>
  <c r="BC23"/>
  <c r="BD18"/>
  <c r="BC18"/>
  <c r="BC20"/>
  <c r="BD15"/>
  <c r="BC15"/>
  <c r="BC17"/>
  <c r="BD12"/>
  <c r="BC12"/>
  <c r="BC14"/>
  <c r="C33" i="2"/>
  <c r="BD10" i="1"/>
  <c r="BC9"/>
  <c r="C48" i="3"/>
  <c r="F48" s="1"/>
  <c r="A11"/>
  <c r="A14"/>
  <c r="A17"/>
  <c r="A20"/>
  <c r="A23"/>
  <c r="A26"/>
  <c r="A29"/>
  <c r="A32"/>
  <c r="A35"/>
  <c r="A38"/>
  <c r="A41"/>
  <c r="A44"/>
  <c r="A47"/>
  <c r="A50"/>
  <c r="AK34" i="1"/>
  <c r="AK35"/>
  <c r="A5" i="4"/>
  <c r="A103" s="1"/>
  <c r="A3"/>
  <c r="A37" s="1"/>
  <c r="A69" s="1"/>
  <c r="A101" s="1"/>
  <c r="Z18" i="2"/>
  <c r="BQ107" i="1"/>
  <c r="BP107"/>
  <c r="BO107"/>
  <c r="BN107"/>
  <c r="BM107"/>
  <c r="BL107"/>
  <c r="K54" i="3"/>
  <c r="M54" s="1"/>
  <c r="M55" s="1"/>
  <c r="K53"/>
  <c r="N53"/>
  <c r="K51"/>
  <c r="M51" s="1"/>
  <c r="K50"/>
  <c r="M50"/>
  <c r="K48"/>
  <c r="M48" s="1"/>
  <c r="K47"/>
  <c r="N47" s="1"/>
  <c r="K45"/>
  <c r="M45" s="1"/>
  <c r="K42"/>
  <c r="M42" s="1"/>
  <c r="K41"/>
  <c r="M41" s="1"/>
  <c r="K39"/>
  <c r="M39" s="1"/>
  <c r="K38"/>
  <c r="M38" s="1"/>
  <c r="K35"/>
  <c r="L35" s="1"/>
  <c r="K33"/>
  <c r="M33" s="1"/>
  <c r="K32"/>
  <c r="L32" s="1"/>
  <c r="K29"/>
  <c r="N29" s="1"/>
  <c r="K26"/>
  <c r="N26" s="1"/>
  <c r="K23"/>
  <c r="L23" s="1"/>
  <c r="K21"/>
  <c r="M21" s="1"/>
  <c r="K20"/>
  <c r="L20" s="1"/>
  <c r="K18"/>
  <c r="M18" s="1"/>
  <c r="K17"/>
  <c r="M17" s="1"/>
  <c r="K15"/>
  <c r="M15" s="1"/>
  <c r="K14"/>
  <c r="L14" s="1"/>
  <c r="K12"/>
  <c r="M12" s="1"/>
  <c r="K11"/>
  <c r="M11" s="1"/>
  <c r="K9"/>
  <c r="N9" s="1"/>
  <c r="K8"/>
  <c r="M8" s="1"/>
  <c r="C51"/>
  <c r="D51" s="1"/>
  <c r="C50"/>
  <c r="E50" s="1"/>
  <c r="C47"/>
  <c r="E47" s="1"/>
  <c r="C44"/>
  <c r="E44" s="1"/>
  <c r="C42"/>
  <c r="F42" s="1"/>
  <c r="C39"/>
  <c r="F39" s="1"/>
  <c r="C38"/>
  <c r="F38" s="1"/>
  <c r="C36"/>
  <c r="F36" s="1"/>
  <c r="C35"/>
  <c r="E35" s="1"/>
  <c r="C33"/>
  <c r="F33" s="1"/>
  <c r="C32"/>
  <c r="F32" s="1"/>
  <c r="C30"/>
  <c r="F30" s="1"/>
  <c r="C27"/>
  <c r="D27" s="1"/>
  <c r="C24"/>
  <c r="F24" s="1"/>
  <c r="C20"/>
  <c r="E20" s="1"/>
  <c r="C18"/>
  <c r="F18" s="1"/>
  <c r="C14"/>
  <c r="E14" s="1"/>
  <c r="C12"/>
  <c r="F12" s="1"/>
  <c r="C11"/>
  <c r="E11" s="1"/>
  <c r="C9"/>
  <c r="F9" s="1"/>
  <c r="C8"/>
  <c r="F8" s="1"/>
  <c r="A1"/>
  <c r="BA38" i="1"/>
  <c r="K31" i="2"/>
  <c r="G21"/>
  <c r="AI10" i="1"/>
  <c r="AI13"/>
  <c r="AI18"/>
  <c r="AI19"/>
  <c r="AI20"/>
  <c r="E25" i="2" s="1"/>
  <c r="AI21" i="1"/>
  <c r="AI22"/>
  <c r="AI24"/>
  <c r="AI25"/>
  <c r="AI26" s="1"/>
  <c r="G25" i="2" s="1"/>
  <c r="AI27" i="1"/>
  <c r="AI28"/>
  <c r="AI29" s="1"/>
  <c r="H25" i="2" s="1"/>
  <c r="AI34" i="1"/>
  <c r="AI33"/>
  <c r="AI36"/>
  <c r="AI37"/>
  <c r="AI39"/>
  <c r="AI40"/>
  <c r="AI41" s="1"/>
  <c r="L25" i="2" s="1"/>
  <c r="AI46" i="1"/>
  <c r="AI48"/>
  <c r="AI49"/>
  <c r="AI51"/>
  <c r="AI52"/>
  <c r="AI53"/>
  <c r="AI55"/>
  <c r="AI60"/>
  <c r="AI63"/>
  <c r="AI64"/>
  <c r="AI65"/>
  <c r="T25" i="2" s="1"/>
  <c r="AJ14" i="1"/>
  <c r="AJ29"/>
  <c r="AJ32"/>
  <c r="AJ41"/>
  <c r="Z105"/>
  <c r="B18" i="2"/>
  <c r="BH83" i="1"/>
  <c r="AR17"/>
  <c r="AR20"/>
  <c r="AR32"/>
  <c r="AR41"/>
  <c r="AR23"/>
  <c r="AQ14"/>
  <c r="AQ17"/>
  <c r="AQ32"/>
  <c r="AQ35"/>
  <c r="AQ38"/>
  <c r="AQ41"/>
  <c r="AQ11"/>
  <c r="AQ23"/>
  <c r="AP92"/>
  <c r="AP17"/>
  <c r="AP23"/>
  <c r="AP32"/>
  <c r="AP35"/>
  <c r="AP26"/>
  <c r="AO17"/>
  <c r="AO29"/>
  <c r="AO32"/>
  <c r="AO35"/>
  <c r="AO41"/>
  <c r="AO11"/>
  <c r="AO20"/>
  <c r="AZ91"/>
  <c r="BR91" s="1"/>
  <c r="AZ63"/>
  <c r="AZ58"/>
  <c r="AZ16"/>
  <c r="AZ19"/>
  <c r="BR19" s="1"/>
  <c r="AZ22"/>
  <c r="BR22"/>
  <c r="BR23" s="1"/>
  <c r="F34" i="2" s="1"/>
  <c r="AZ28" i="1"/>
  <c r="BR28" s="1"/>
  <c r="BR29" s="1"/>
  <c r="H34" i="2" s="1"/>
  <c r="AZ31" i="1"/>
  <c r="BR31" s="1"/>
  <c r="BR32" s="1"/>
  <c r="I34" i="2" s="1"/>
  <c r="AZ34" i="1"/>
  <c r="AZ37"/>
  <c r="BR37" s="1"/>
  <c r="BR38" s="1"/>
  <c r="K34" i="2" s="1"/>
  <c r="AZ39" i="1"/>
  <c r="AZ40"/>
  <c r="BR40" s="1"/>
  <c r="BR41" s="1"/>
  <c r="L34" i="2" s="1"/>
  <c r="AZ49" i="1"/>
  <c r="BR49" s="1"/>
  <c r="BR50" s="1"/>
  <c r="O34" i="2" s="1"/>
  <c r="AZ51" i="1"/>
  <c r="AZ10"/>
  <c r="AZ46"/>
  <c r="BR46" s="1"/>
  <c r="BR47" s="1"/>
  <c r="N34" i="2" s="1"/>
  <c r="AZ55" i="1"/>
  <c r="BA32"/>
  <c r="I31" i="2"/>
  <c r="BA95" i="1"/>
  <c r="AD31" i="2" s="1"/>
  <c r="BA20" i="1"/>
  <c r="BA29"/>
  <c r="BH14"/>
  <c r="BH26"/>
  <c r="BG17"/>
  <c r="BG20"/>
  <c r="BE17"/>
  <c r="BE41"/>
  <c r="BE11"/>
  <c r="BE26"/>
  <c r="AJ17"/>
  <c r="AJ38"/>
  <c r="Q26" i="2"/>
  <c r="AJ77" i="1"/>
  <c r="X26" i="2"/>
  <c r="AJ80" i="1"/>
  <c r="AJ83"/>
  <c r="AJ92"/>
  <c r="AC26" i="2"/>
  <c r="AJ95" i="1"/>
  <c r="I1" i="3"/>
  <c r="C15"/>
  <c r="E15" s="1"/>
  <c r="E16" s="1"/>
  <c r="C17"/>
  <c r="D17" s="1"/>
  <c r="C21"/>
  <c r="D21" s="1"/>
  <c r="C29"/>
  <c r="F29" s="1"/>
  <c r="C41"/>
  <c r="F41" s="1"/>
  <c r="C45"/>
  <c r="D45" s="1"/>
  <c r="K44"/>
  <c r="M44" s="1"/>
  <c r="K36"/>
  <c r="L36" s="1"/>
  <c r="L37" s="1"/>
  <c r="K30"/>
  <c r="L30" s="1"/>
  <c r="K27"/>
  <c r="N27" s="1"/>
  <c r="N28" s="1"/>
  <c r="K24"/>
  <c r="L24" s="1"/>
  <c r="L25" s="1"/>
  <c r="F115" i="4"/>
  <c r="I11" i="3"/>
  <c r="I14"/>
  <c r="I17"/>
  <c r="I20"/>
  <c r="I23"/>
  <c r="I26"/>
  <c r="I29"/>
  <c r="I32"/>
  <c r="I35"/>
  <c r="I38"/>
  <c r="I41"/>
  <c r="I44"/>
  <c r="I47"/>
  <c r="I50"/>
  <c r="I53"/>
  <c r="AF31" i="2"/>
  <c r="BQ95" i="1"/>
  <c r="BP95"/>
  <c r="BO95"/>
  <c r="BN95"/>
  <c r="BM95"/>
  <c r="BL95"/>
  <c r="BK95"/>
  <c r="BJ95"/>
  <c r="BI95"/>
  <c r="BH95"/>
  <c r="BH105"/>
  <c r="BG95"/>
  <c r="BE95"/>
  <c r="BB95"/>
  <c r="AY95"/>
  <c r="AX95"/>
  <c r="AW95"/>
  <c r="AV95"/>
  <c r="AT95"/>
  <c r="AS95"/>
  <c r="AR95"/>
  <c r="AQ95"/>
  <c r="AP95"/>
  <c r="AO95"/>
  <c r="BD95"/>
  <c r="AZ94"/>
  <c r="BR94"/>
  <c r="BR95"/>
  <c r="AD34" i="2" s="1"/>
  <c r="AZ93" i="1"/>
  <c r="AZ95"/>
  <c r="BQ92"/>
  <c r="BP92"/>
  <c r="BO92"/>
  <c r="BN92"/>
  <c r="BM92"/>
  <c r="BL92"/>
  <c r="BK92"/>
  <c r="BJ92"/>
  <c r="BI92"/>
  <c r="BH92"/>
  <c r="BG92"/>
  <c r="BE92"/>
  <c r="BB92"/>
  <c r="BA92"/>
  <c r="AY92"/>
  <c r="AX92"/>
  <c r="AW92"/>
  <c r="AV92"/>
  <c r="AT92"/>
  <c r="AS92"/>
  <c r="AR92"/>
  <c r="AQ92"/>
  <c r="AO92"/>
  <c r="AZ90"/>
  <c r="BQ89"/>
  <c r="BP89"/>
  <c r="BO89"/>
  <c r="BN89"/>
  <c r="BM89"/>
  <c r="BL89"/>
  <c r="BK89"/>
  <c r="BJ89"/>
  <c r="BI89"/>
  <c r="BH89"/>
  <c r="BG89"/>
  <c r="BE89"/>
  <c r="BB89"/>
  <c r="BA89"/>
  <c r="AB31" i="2" s="1"/>
  <c r="AY89" i="1"/>
  <c r="AX89"/>
  <c r="AW89"/>
  <c r="AV89"/>
  <c r="AT89"/>
  <c r="AS89"/>
  <c r="AR89"/>
  <c r="AQ89"/>
  <c r="AP89"/>
  <c r="AO89"/>
  <c r="AZ88"/>
  <c r="BR88" s="1"/>
  <c r="BR89" s="1"/>
  <c r="AB34" i="2" s="1"/>
  <c r="AZ87" i="1"/>
  <c r="BQ86"/>
  <c r="BP86"/>
  <c r="BO86"/>
  <c r="BN86"/>
  <c r="BM86"/>
  <c r="BL86"/>
  <c r="BK86"/>
  <c r="BJ86"/>
  <c r="BI86"/>
  <c r="BH86"/>
  <c r="BG86"/>
  <c r="BE86"/>
  <c r="BB86"/>
  <c r="AY86"/>
  <c r="AX86"/>
  <c r="AW86"/>
  <c r="AV86"/>
  <c r="AT86"/>
  <c r="AS86"/>
  <c r="AR86"/>
  <c r="AQ86"/>
  <c r="AP86"/>
  <c r="AO86"/>
  <c r="AZ85"/>
  <c r="BR85" s="1"/>
  <c r="BR86" s="1"/>
  <c r="AA34" i="2" s="1"/>
  <c r="AZ84" i="1"/>
  <c r="BQ83"/>
  <c r="BP83"/>
  <c r="BO83"/>
  <c r="BN83"/>
  <c r="BM83"/>
  <c r="BL83"/>
  <c r="BK83"/>
  <c r="BJ83"/>
  <c r="BI83"/>
  <c r="BE83"/>
  <c r="BB83"/>
  <c r="AY83"/>
  <c r="AX83"/>
  <c r="AW83"/>
  <c r="AV83"/>
  <c r="AT83"/>
  <c r="AS83"/>
  <c r="AQ83"/>
  <c r="AP83"/>
  <c r="AO83"/>
  <c r="AZ81"/>
  <c r="AZ83"/>
  <c r="Z30" i="2" s="1"/>
  <c r="BQ80" i="1"/>
  <c r="BP80"/>
  <c r="BO80"/>
  <c r="BN80"/>
  <c r="BM80"/>
  <c r="BL80"/>
  <c r="BK80"/>
  <c r="BJ80"/>
  <c r="BI80"/>
  <c r="BH80"/>
  <c r="BG80"/>
  <c r="BE80"/>
  <c r="BB80"/>
  <c r="AY80"/>
  <c r="AX80"/>
  <c r="AW80"/>
  <c r="AV80"/>
  <c r="AT80"/>
  <c r="AS80"/>
  <c r="AR80"/>
  <c r="AQ80"/>
  <c r="AP80"/>
  <c r="AO80"/>
  <c r="AZ79"/>
  <c r="AZ80" s="1"/>
  <c r="Y30" i="2" s="1"/>
  <c r="AZ78" i="1"/>
  <c r="BQ77"/>
  <c r="BP77"/>
  <c r="BO77"/>
  <c r="BN77"/>
  <c r="BM77"/>
  <c r="BL77"/>
  <c r="BK77"/>
  <c r="BJ77"/>
  <c r="BI77"/>
  <c r="BH77"/>
  <c r="BG77"/>
  <c r="BE77"/>
  <c r="BB77"/>
  <c r="AY77"/>
  <c r="AX77"/>
  <c r="AW77"/>
  <c r="AV77"/>
  <c r="AT77"/>
  <c r="AS77"/>
  <c r="AR77"/>
  <c r="AQ77"/>
  <c r="AP77"/>
  <c r="AO77"/>
  <c r="BD77"/>
  <c r="AZ73"/>
  <c r="AZ72"/>
  <c r="AZ70"/>
  <c r="BR70"/>
  <c r="BR71" s="1"/>
  <c r="V34" i="2" s="1"/>
  <c r="AZ69" i="1"/>
  <c r="U32" i="2"/>
  <c r="AZ68" i="1"/>
  <c r="AZ60"/>
  <c r="AZ62"/>
  <c r="S30" i="2" s="1"/>
  <c r="R32"/>
  <c r="AZ57" i="1"/>
  <c r="AZ59"/>
  <c r="R30" i="2" s="1"/>
  <c r="AZ54" i="1"/>
  <c r="AZ52"/>
  <c r="AZ53" s="1"/>
  <c r="AZ48"/>
  <c r="AZ45"/>
  <c r="M31" i="2"/>
  <c r="BQ41" i="1"/>
  <c r="BP41"/>
  <c r="BO41"/>
  <c r="BN41"/>
  <c r="BM41"/>
  <c r="BL41"/>
  <c r="BK41"/>
  <c r="BJ41"/>
  <c r="BI41"/>
  <c r="BH41"/>
  <c r="BG41"/>
  <c r="BB41"/>
  <c r="BA41"/>
  <c r="L31" i="2" s="1"/>
  <c r="AY41" i="1"/>
  <c r="AX41"/>
  <c r="AW41"/>
  <c r="AV41"/>
  <c r="AT41"/>
  <c r="AS41"/>
  <c r="BD41"/>
  <c r="BQ38"/>
  <c r="BP38"/>
  <c r="BO38"/>
  <c r="BN38"/>
  <c r="BM38"/>
  <c r="BL38"/>
  <c r="BK38"/>
  <c r="BJ38"/>
  <c r="BI38"/>
  <c r="BH38"/>
  <c r="BG38"/>
  <c r="BG106" s="1"/>
  <c r="BG107" s="1"/>
  <c r="BE38"/>
  <c r="BB38"/>
  <c r="AY38"/>
  <c r="AX38"/>
  <c r="AW38"/>
  <c r="AV38"/>
  <c r="AT38"/>
  <c r="AS38"/>
  <c r="AR38"/>
  <c r="AP38"/>
  <c r="AO38"/>
  <c r="BD38"/>
  <c r="AZ36"/>
  <c r="BQ35"/>
  <c r="BP35"/>
  <c r="BO35"/>
  <c r="BN35"/>
  <c r="BM35"/>
  <c r="BL35"/>
  <c r="BL105" s="1"/>
  <c r="BK35"/>
  <c r="BJ35"/>
  <c r="BI35"/>
  <c r="BH35"/>
  <c r="BG35"/>
  <c r="BE35"/>
  <c r="BB35"/>
  <c r="AY35"/>
  <c r="AX35"/>
  <c r="AW35"/>
  <c r="AV35"/>
  <c r="AT35"/>
  <c r="AS35"/>
  <c r="AR35"/>
  <c r="AZ33"/>
  <c r="BR33"/>
  <c r="BQ32"/>
  <c r="BP32"/>
  <c r="BO32"/>
  <c r="BN32"/>
  <c r="BM32"/>
  <c r="BL32"/>
  <c r="BK32"/>
  <c r="BJ32"/>
  <c r="BI32"/>
  <c r="BH32"/>
  <c r="BG32"/>
  <c r="BE32"/>
  <c r="BB32"/>
  <c r="AY32"/>
  <c r="AX32"/>
  <c r="AW32"/>
  <c r="AV32"/>
  <c r="AT32"/>
  <c r="AS32"/>
  <c r="BD32"/>
  <c r="I33" i="2"/>
  <c r="AZ30" i="1"/>
  <c r="BQ29"/>
  <c r="BP29"/>
  <c r="BO29"/>
  <c r="BN29"/>
  <c r="BM29"/>
  <c r="BL29"/>
  <c r="BK29"/>
  <c r="BJ29"/>
  <c r="BJ106" s="1"/>
  <c r="BJ107" s="1"/>
  <c r="BI29"/>
  <c r="BH29"/>
  <c r="BG29"/>
  <c r="BE29"/>
  <c r="BB29"/>
  <c r="H32" i="2"/>
  <c r="AY29" i="1"/>
  <c r="AX29"/>
  <c r="AW29"/>
  <c r="AV29"/>
  <c r="AT29"/>
  <c r="AS29"/>
  <c r="AR29"/>
  <c r="AQ29"/>
  <c r="AP29"/>
  <c r="AZ27"/>
  <c r="BQ26"/>
  <c r="BP26"/>
  <c r="BO26"/>
  <c r="BN26"/>
  <c r="BM26"/>
  <c r="BL26"/>
  <c r="BK26"/>
  <c r="BJ26"/>
  <c r="BI26"/>
  <c r="BG26"/>
  <c r="BB26"/>
  <c r="BA26"/>
  <c r="AY26"/>
  <c r="AX26"/>
  <c r="AW26"/>
  <c r="AV26"/>
  <c r="AT26"/>
  <c r="AS26"/>
  <c r="AR26"/>
  <c r="AQ26"/>
  <c r="AO26"/>
  <c r="AZ24"/>
  <c r="BQ23"/>
  <c r="BP23"/>
  <c r="BO23"/>
  <c r="BN23"/>
  <c r="BM23"/>
  <c r="BL23"/>
  <c r="BK23"/>
  <c r="BJ23"/>
  <c r="BI23"/>
  <c r="BH23"/>
  <c r="BG23"/>
  <c r="BE23"/>
  <c r="BB23"/>
  <c r="AY23"/>
  <c r="AX23"/>
  <c r="AW23"/>
  <c r="AV23"/>
  <c r="AT23"/>
  <c r="AS23"/>
  <c r="AO23"/>
  <c r="AZ21"/>
  <c r="BR21"/>
  <c r="BQ20"/>
  <c r="BP20"/>
  <c r="BO20"/>
  <c r="BN20"/>
  <c r="BM20"/>
  <c r="BL20"/>
  <c r="BK20"/>
  <c r="BJ20"/>
  <c r="BI20"/>
  <c r="BH20"/>
  <c r="BE20"/>
  <c r="BB20"/>
  <c r="E32" i="2"/>
  <c r="AY20" i="1"/>
  <c r="AX20"/>
  <c r="AW20"/>
  <c r="AV20"/>
  <c r="AT20"/>
  <c r="AS20"/>
  <c r="AQ20"/>
  <c r="AP20"/>
  <c r="BD20"/>
  <c r="AZ18"/>
  <c r="BQ17"/>
  <c r="BP17"/>
  <c r="BO17"/>
  <c r="BN17"/>
  <c r="BM17"/>
  <c r="BL17"/>
  <c r="BK17"/>
  <c r="BJ17"/>
  <c r="BI17"/>
  <c r="BH17"/>
  <c r="BB17"/>
  <c r="BA17"/>
  <c r="AY17"/>
  <c r="AX17"/>
  <c r="AW17"/>
  <c r="AV17"/>
  <c r="AT17"/>
  <c r="AS17"/>
  <c r="AZ15"/>
  <c r="AZ17"/>
  <c r="D30" i="2" s="1"/>
  <c r="BQ14" i="1"/>
  <c r="BP14"/>
  <c r="BO14"/>
  <c r="BN14"/>
  <c r="BM14"/>
  <c r="BL14"/>
  <c r="BK14"/>
  <c r="BJ14"/>
  <c r="BI14"/>
  <c r="BG14"/>
  <c r="BE14"/>
  <c r="BE105"/>
  <c r="BB14"/>
  <c r="BA14"/>
  <c r="C31" i="2" s="1"/>
  <c r="AY14" i="1"/>
  <c r="AX14"/>
  <c r="AW14"/>
  <c r="AV14"/>
  <c r="AT14"/>
  <c r="AS14"/>
  <c r="AR14"/>
  <c r="AP14"/>
  <c r="BQ11"/>
  <c r="BP11"/>
  <c r="BO11"/>
  <c r="BN11"/>
  <c r="BM11"/>
  <c r="BL11"/>
  <c r="BK11"/>
  <c r="BJ11"/>
  <c r="BI11"/>
  <c r="BH11"/>
  <c r="BG11"/>
  <c r="BB11"/>
  <c r="BA11"/>
  <c r="B31" i="2"/>
  <c r="AY11" i="1"/>
  <c r="AY105"/>
  <c r="AX11"/>
  <c r="AW11"/>
  <c r="AV11"/>
  <c r="AT11"/>
  <c r="AS11"/>
  <c r="AR11"/>
  <c r="AP11"/>
  <c r="AJ89"/>
  <c r="AJ86"/>
  <c r="AJ35"/>
  <c r="AJ11"/>
  <c r="B26" i="2"/>
  <c r="AF21"/>
  <c r="AE19"/>
  <c r="Y95" i="1"/>
  <c r="AD17" i="2"/>
  <c r="AC20"/>
  <c r="AC19"/>
  <c r="Y92" i="1"/>
  <c r="AC17" i="2"/>
  <c r="AB22"/>
  <c r="AB21"/>
  <c r="AB18"/>
  <c r="Y89" i="1"/>
  <c r="AB17" i="2"/>
  <c r="AA21"/>
  <c r="AA19"/>
  <c r="Y86" i="1"/>
  <c r="AA17" i="2"/>
  <c r="Z22"/>
  <c r="Y83" i="1"/>
  <c r="Z17" i="2"/>
  <c r="Y19"/>
  <c r="Y80" i="1"/>
  <c r="Y17" i="2"/>
  <c r="X21"/>
  <c r="AA105" i="1"/>
  <c r="X18" i="2"/>
  <c r="Y77" i="1"/>
  <c r="X17" i="2"/>
  <c r="W20"/>
  <c r="W18"/>
  <c r="W17"/>
  <c r="V22"/>
  <c r="V21"/>
  <c r="V18"/>
  <c r="V17"/>
  <c r="T21"/>
  <c r="T19"/>
  <c r="T17"/>
  <c r="S17"/>
  <c r="R21"/>
  <c r="R17"/>
  <c r="Q19"/>
  <c r="P22"/>
  <c r="P17"/>
  <c r="O22"/>
  <c r="O18"/>
  <c r="O21"/>
  <c r="O19"/>
  <c r="N21"/>
  <c r="N19"/>
  <c r="M20"/>
  <c r="M18"/>
  <c r="Y41" i="1"/>
  <c r="L17" i="2"/>
  <c r="L21"/>
  <c r="L18"/>
  <c r="K22"/>
  <c r="Y38" i="1"/>
  <c r="K21" i="2"/>
  <c r="K18"/>
  <c r="J22"/>
  <c r="J20"/>
  <c r="J18"/>
  <c r="Y32" i="1"/>
  <c r="H20" i="2"/>
  <c r="Y29" i="1"/>
  <c r="H21" i="2"/>
  <c r="H19"/>
  <c r="Y26" i="1"/>
  <c r="Y23"/>
  <c r="F22" i="2"/>
  <c r="F21"/>
  <c r="F19"/>
  <c r="Y20" i="1"/>
  <c r="E17" i="2"/>
  <c r="E19"/>
  <c r="E18"/>
  <c r="D22"/>
  <c r="D19"/>
  <c r="Y17" i="1"/>
  <c r="D21" i="2"/>
  <c r="D18"/>
  <c r="Y14" i="1"/>
  <c r="C17" i="2"/>
  <c r="C22"/>
  <c r="C21"/>
  <c r="C18"/>
  <c r="Y11" i="1"/>
  <c r="I11"/>
  <c r="B7" i="2"/>
  <c r="J11" i="1"/>
  <c r="B8" i="2"/>
  <c r="L11" i="1"/>
  <c r="L92"/>
  <c r="I14"/>
  <c r="C7" i="2"/>
  <c r="J14" i="1"/>
  <c r="C8" i="2"/>
  <c r="L14" i="1"/>
  <c r="P14"/>
  <c r="I17"/>
  <c r="J17"/>
  <c r="D8" i="2"/>
  <c r="L17" i="1"/>
  <c r="P17"/>
  <c r="D12" i="2"/>
  <c r="I20" i="1"/>
  <c r="E7" i="2"/>
  <c r="J20" i="1"/>
  <c r="E8" i="2"/>
  <c r="L20" i="1"/>
  <c r="P20"/>
  <c r="I23"/>
  <c r="F7" i="2"/>
  <c r="J23" i="1"/>
  <c r="F8" i="2"/>
  <c r="L23" i="1"/>
  <c r="I26"/>
  <c r="G7" i="2"/>
  <c r="J26" i="1"/>
  <c r="G8" i="2"/>
  <c r="L26" i="1"/>
  <c r="I29"/>
  <c r="H7" i="2"/>
  <c r="J29" i="1"/>
  <c r="H8" i="2"/>
  <c r="L29" i="1"/>
  <c r="I32"/>
  <c r="I7" i="2"/>
  <c r="J32" i="1"/>
  <c r="I8" i="2"/>
  <c r="L32" i="1"/>
  <c r="J8" i="2"/>
  <c r="K8"/>
  <c r="L7"/>
  <c r="L8"/>
  <c r="M7"/>
  <c r="M8"/>
  <c r="N8"/>
  <c r="O7"/>
  <c r="O8"/>
  <c r="Q7"/>
  <c r="Q8"/>
  <c r="R7"/>
  <c r="R8"/>
  <c r="S7"/>
  <c r="S8"/>
  <c r="T7"/>
  <c r="U7"/>
  <c r="V7"/>
  <c r="V8"/>
  <c r="W7"/>
  <c r="W8"/>
  <c r="I77" i="1"/>
  <c r="X7" i="2"/>
  <c r="J77" i="1"/>
  <c r="X8" i="2"/>
  <c r="L77" i="1"/>
  <c r="Y7" i="2"/>
  <c r="J80" i="1"/>
  <c r="Y8" i="2"/>
  <c r="L80" i="1"/>
  <c r="I83"/>
  <c r="Z7" i="2"/>
  <c r="J83" i="1"/>
  <c r="Z8" i="2"/>
  <c r="L83" i="1"/>
  <c r="I86"/>
  <c r="AA7" i="2"/>
  <c r="J86" i="1"/>
  <c r="AA8" i="2"/>
  <c r="L86" i="1"/>
  <c r="I89"/>
  <c r="AB7" i="2"/>
  <c r="J89" i="1"/>
  <c r="L89"/>
  <c r="I92"/>
  <c r="AC7" i="2"/>
  <c r="J92" i="1"/>
  <c r="AC8" i="2"/>
  <c r="I95" i="1"/>
  <c r="AD7" i="2"/>
  <c r="J95" i="1"/>
  <c r="AD8" i="2"/>
  <c r="L95" i="1"/>
  <c r="AE8" i="2"/>
  <c r="AF7"/>
  <c r="AF8"/>
  <c r="AC3"/>
  <c r="Y3"/>
  <c r="W3"/>
  <c r="K3"/>
  <c r="H3"/>
  <c r="F3"/>
  <c r="AB8"/>
  <c r="P8"/>
  <c r="K7"/>
  <c r="J7"/>
  <c r="B2"/>
  <c r="C2"/>
  <c r="AF22"/>
  <c r="AF20"/>
  <c r="AF19"/>
  <c r="AF18"/>
  <c r="AF3"/>
  <c r="AF24"/>
  <c r="AE32"/>
  <c r="AE22"/>
  <c r="AE21"/>
  <c r="AE20"/>
  <c r="AE18"/>
  <c r="AE17"/>
  <c r="AE7"/>
  <c r="AD32"/>
  <c r="AD26"/>
  <c r="AD22"/>
  <c r="AD21"/>
  <c r="AD20"/>
  <c r="AD19"/>
  <c r="S95" i="1"/>
  <c r="R95"/>
  <c r="AI94"/>
  <c r="AH94"/>
  <c r="AH93"/>
  <c r="AH95" s="1"/>
  <c r="AD24" i="2" s="1"/>
  <c r="AG94" i="1"/>
  <c r="AG93"/>
  <c r="AG95"/>
  <c r="AI93"/>
  <c r="AI95"/>
  <c r="AD25" i="2" s="1"/>
  <c r="W95" i="1"/>
  <c r="AD16" i="2"/>
  <c r="P95" i="1"/>
  <c r="AD12" i="2"/>
  <c r="AC32"/>
  <c r="AC31"/>
  <c r="AC22"/>
  <c r="AC21"/>
  <c r="S92" i="1"/>
  <c r="R92"/>
  <c r="AI91"/>
  <c r="AH91"/>
  <c r="AG91"/>
  <c r="AG90"/>
  <c r="P92"/>
  <c r="AC12" i="2"/>
  <c r="AI90" i="1"/>
  <c r="AH90"/>
  <c r="AB32" i="2"/>
  <c r="AB26"/>
  <c r="AB20"/>
  <c r="AB19"/>
  <c r="S89" i="1"/>
  <c r="R89"/>
  <c r="AI88"/>
  <c r="AI87"/>
  <c r="AI89"/>
  <c r="AB25" i="2" s="1"/>
  <c r="AH88" i="1"/>
  <c r="AG88"/>
  <c r="AH87"/>
  <c r="AH89" s="1"/>
  <c r="AB24" i="2" s="1"/>
  <c r="AG87" i="1"/>
  <c r="W89"/>
  <c r="AB16" i="2"/>
  <c r="U89" i="1"/>
  <c r="AB14" i="2"/>
  <c r="H89" i="1"/>
  <c r="AB6" i="2" s="1"/>
  <c r="AA32"/>
  <c r="AA26"/>
  <c r="AA22"/>
  <c r="AA20"/>
  <c r="AA18"/>
  <c r="S86" i="1"/>
  <c r="R86"/>
  <c r="AI85"/>
  <c r="AH85"/>
  <c r="AG85"/>
  <c r="AG84"/>
  <c r="AI84"/>
  <c r="AI86" s="1"/>
  <c r="AA25" i="2" s="1"/>
  <c r="AH84" i="1"/>
  <c r="Z32" i="2"/>
  <c r="Z31"/>
  <c r="Z26"/>
  <c r="Z20"/>
  <c r="Z19"/>
  <c r="S83" i="1"/>
  <c r="R83"/>
  <c r="AI81"/>
  <c r="AI83"/>
  <c r="Z25" i="2" s="1"/>
  <c r="AH81" i="1"/>
  <c r="AH83" s="1"/>
  <c r="Z24" i="2" s="1"/>
  <c r="AG81" i="1"/>
  <c r="AG83"/>
  <c r="Z23" i="2" s="1"/>
  <c r="W83" i="1"/>
  <c r="Z16" i="2"/>
  <c r="T83" i="1"/>
  <c r="Z13" i="2"/>
  <c r="M83" i="1"/>
  <c r="Z9" i="2" s="1"/>
  <c r="H83" i="1"/>
  <c r="Y32" i="2"/>
  <c r="Y26"/>
  <c r="Y22"/>
  <c r="Y21"/>
  <c r="Y20"/>
  <c r="S80" i="1"/>
  <c r="R80"/>
  <c r="AI79"/>
  <c r="AI78"/>
  <c r="AH79"/>
  <c r="AG79"/>
  <c r="W79"/>
  <c r="U79"/>
  <c r="T79"/>
  <c r="V79"/>
  <c r="P79"/>
  <c r="H79"/>
  <c r="G79"/>
  <c r="AH78"/>
  <c r="AG78"/>
  <c r="W78"/>
  <c r="U78"/>
  <c r="T78"/>
  <c r="P78"/>
  <c r="P80"/>
  <c r="Y12" i="2"/>
  <c r="H78" i="1"/>
  <c r="G78"/>
  <c r="G80" s="1"/>
  <c r="Y5" i="2" s="1"/>
  <c r="X32"/>
  <c r="X22"/>
  <c r="X20"/>
  <c r="X19"/>
  <c r="S77" i="1"/>
  <c r="R77"/>
  <c r="W77"/>
  <c r="X16" i="2"/>
  <c r="U77" i="1"/>
  <c r="X14" i="2"/>
  <c r="T77" i="1"/>
  <c r="X13" i="2"/>
  <c r="N77" i="1"/>
  <c r="X10" i="2" s="1"/>
  <c r="W32"/>
  <c r="W26"/>
  <c r="W22"/>
  <c r="W19"/>
  <c r="AI73" i="1"/>
  <c r="AH73"/>
  <c r="AG73"/>
  <c r="AI72"/>
  <c r="AI74"/>
  <c r="W25" i="2" s="1"/>
  <c r="AH72" i="1"/>
  <c r="AH74" s="1"/>
  <c r="W24" i="2" s="1"/>
  <c r="AG72" i="1"/>
  <c r="W16" i="2"/>
  <c r="W14"/>
  <c r="W13"/>
  <c r="V32"/>
  <c r="V26"/>
  <c r="V20"/>
  <c r="V19"/>
  <c r="AI70" i="1"/>
  <c r="AH70"/>
  <c r="AG70"/>
  <c r="V13" i="2"/>
  <c r="AI69" i="1"/>
  <c r="AI71"/>
  <c r="V25" i="2" s="1"/>
  <c r="AH69" i="1"/>
  <c r="AG69"/>
  <c r="AG71" s="1"/>
  <c r="V23" i="2" s="1"/>
  <c r="V16"/>
  <c r="V12"/>
  <c r="U26"/>
  <c r="U22"/>
  <c r="U21"/>
  <c r="U20"/>
  <c r="U19"/>
  <c r="U16"/>
  <c r="U14"/>
  <c r="T32"/>
  <c r="T26"/>
  <c r="T22"/>
  <c r="T20"/>
  <c r="AH64" i="1"/>
  <c r="AH63"/>
  <c r="AG64"/>
  <c r="AG63"/>
  <c r="T14" i="2"/>
  <c r="T13"/>
  <c r="S32"/>
  <c r="S26"/>
  <c r="S22"/>
  <c r="S21"/>
  <c r="S20"/>
  <c r="S19"/>
  <c r="AH60" i="1"/>
  <c r="AH62"/>
  <c r="S24" i="2" s="1"/>
  <c r="AG60" i="1"/>
  <c r="AG62"/>
  <c r="S23" i="2" s="1"/>
  <c r="R26"/>
  <c r="R22"/>
  <c r="R20"/>
  <c r="R19"/>
  <c r="R18"/>
  <c r="AI58" i="1"/>
  <c r="AH58"/>
  <c r="AG58"/>
  <c r="AG57"/>
  <c r="W58"/>
  <c r="U58"/>
  <c r="T58"/>
  <c r="P58"/>
  <c r="H58"/>
  <c r="AI57"/>
  <c r="AI59"/>
  <c r="R25" i="2" s="1"/>
  <c r="AH57" i="1"/>
  <c r="AH59" s="1"/>
  <c r="R24" i="2" s="1"/>
  <c r="W57" i="1"/>
  <c r="W59"/>
  <c r="R16" i="2"/>
  <c r="U57" i="1"/>
  <c r="U59"/>
  <c r="T57"/>
  <c r="P57"/>
  <c r="P59"/>
  <c r="R12" i="2"/>
  <c r="H57" i="1"/>
  <c r="Q32" i="2"/>
  <c r="Q22"/>
  <c r="Q21"/>
  <c r="Q20"/>
  <c r="Q18"/>
  <c r="Q17"/>
  <c r="AH55" i="1"/>
  <c r="AG55"/>
  <c r="AG54"/>
  <c r="AG56"/>
  <c r="Q23" i="2" s="1"/>
  <c r="AI54" i="1"/>
  <c r="AI56" s="1"/>
  <c r="Q25" i="2" s="1"/>
  <c r="AH54" i="1"/>
  <c r="Q14" i="2"/>
  <c r="Q13"/>
  <c r="P32"/>
  <c r="P31"/>
  <c r="P26"/>
  <c r="P21"/>
  <c r="P20"/>
  <c r="P19"/>
  <c r="AH52" i="1"/>
  <c r="AG52"/>
  <c r="AH51"/>
  <c r="P14" i="2"/>
  <c r="P12"/>
  <c r="O32"/>
  <c r="O26"/>
  <c r="O20"/>
  <c r="O17"/>
  <c r="AH49" i="1"/>
  <c r="AG49"/>
  <c r="AH48"/>
  <c r="AH50" s="1"/>
  <c r="O24" i="2" s="1"/>
  <c r="AG48" i="1"/>
  <c r="O14" i="2"/>
  <c r="O12"/>
  <c r="N32"/>
  <c r="N31"/>
  <c r="N22"/>
  <c r="N20"/>
  <c r="N17"/>
  <c r="AH46" i="1"/>
  <c r="AH47"/>
  <c r="N24" i="2" s="1"/>
  <c r="AG46" i="1"/>
  <c r="AG47" s="1"/>
  <c r="N23" i="2" s="1"/>
  <c r="N16"/>
  <c r="N14"/>
  <c r="M32"/>
  <c r="M26"/>
  <c r="M22"/>
  <c r="M19"/>
  <c r="M17"/>
  <c r="M16"/>
  <c r="M14"/>
  <c r="M12"/>
  <c r="L32"/>
  <c r="L26"/>
  <c r="L22"/>
  <c r="L20"/>
  <c r="L19"/>
  <c r="S41" i="1"/>
  <c r="R41"/>
  <c r="AH40"/>
  <c r="AG40"/>
  <c r="AH39"/>
  <c r="AH41" s="1"/>
  <c r="L24" i="2" s="1"/>
  <c r="AG39" i="1"/>
  <c r="W41"/>
  <c r="L16" i="2"/>
  <c r="U41" i="1"/>
  <c r="L14" i="2"/>
  <c r="P41" i="1"/>
  <c r="L12" i="2"/>
  <c r="K32"/>
  <c r="K26"/>
  <c r="K20"/>
  <c r="K19"/>
  <c r="K17"/>
  <c r="S38" i="1"/>
  <c r="R38"/>
  <c r="AH37"/>
  <c r="AG37"/>
  <c r="W37"/>
  <c r="U37"/>
  <c r="T37"/>
  <c r="P37"/>
  <c r="H37"/>
  <c r="G37"/>
  <c r="AH36"/>
  <c r="AG36"/>
  <c r="AG38" s="1"/>
  <c r="K23" i="2" s="1"/>
  <c r="W36" i="1"/>
  <c r="U36"/>
  <c r="T36"/>
  <c r="P36"/>
  <c r="H36"/>
  <c r="H38" s="1"/>
  <c r="K6" i="2" s="1"/>
  <c r="G36" i="1"/>
  <c r="G38" s="1"/>
  <c r="K5" i="2" s="1"/>
  <c r="J32"/>
  <c r="J21"/>
  <c r="J19"/>
  <c r="J17"/>
  <c r="AH34" i="1"/>
  <c r="AG34"/>
  <c r="AH33"/>
  <c r="AH35" s="1"/>
  <c r="J24" i="2" s="1"/>
  <c r="AG33" i="1"/>
  <c r="AG35" s="1"/>
  <c r="J23" i="2" s="1"/>
  <c r="W35" i="1"/>
  <c r="J16" i="2"/>
  <c r="U35" i="1"/>
  <c r="J14" i="2"/>
  <c r="T35" i="1"/>
  <c r="P35"/>
  <c r="J12" i="2"/>
  <c r="N35" i="1"/>
  <c r="I32" i="2"/>
  <c r="I26"/>
  <c r="I22"/>
  <c r="I20"/>
  <c r="I19"/>
  <c r="I17"/>
  <c r="S32" i="1"/>
  <c r="R32"/>
  <c r="P32"/>
  <c r="I12" i="2"/>
  <c r="H31"/>
  <c r="H26"/>
  <c r="H22"/>
  <c r="H17"/>
  <c r="S29" i="1"/>
  <c r="R29"/>
  <c r="AH28"/>
  <c r="AG28"/>
  <c r="AH27"/>
  <c r="AH29" s="1"/>
  <c r="H24" i="2" s="1"/>
  <c r="AG27" i="1"/>
  <c r="W29"/>
  <c r="H16" i="2"/>
  <c r="G29" i="1"/>
  <c r="H5" i="2" s="1"/>
  <c r="G32"/>
  <c r="G31"/>
  <c r="G26"/>
  <c r="G22"/>
  <c r="G20"/>
  <c r="G19"/>
  <c r="G17"/>
  <c r="S26" i="1"/>
  <c r="R26"/>
  <c r="AH25"/>
  <c r="AG25"/>
  <c r="AH24"/>
  <c r="AH26" s="1"/>
  <c r="G24" i="2" s="1"/>
  <c r="AG24" i="1"/>
  <c r="AG26" s="1"/>
  <c r="G23" i="2" s="1"/>
  <c r="T26" i="1"/>
  <c r="G13" i="2"/>
  <c r="F32"/>
  <c r="F26"/>
  <c r="F17"/>
  <c r="S23" i="1"/>
  <c r="R23"/>
  <c r="AH22"/>
  <c r="AG22"/>
  <c r="P23"/>
  <c r="F12" i="2"/>
  <c r="AH21" i="1"/>
  <c r="AH23" s="1"/>
  <c r="AG21"/>
  <c r="AG23" s="1"/>
  <c r="F23" i="2" s="1"/>
  <c r="W23" i="1"/>
  <c r="F16" i="2"/>
  <c r="U23" i="1"/>
  <c r="F14" i="2"/>
  <c r="E31"/>
  <c r="E26"/>
  <c r="E22"/>
  <c r="E20"/>
  <c r="S20" i="1"/>
  <c r="R20"/>
  <c r="AH19"/>
  <c r="AH18"/>
  <c r="AH20" s="1"/>
  <c r="E24" i="2" s="1"/>
  <c r="AG19" i="1"/>
  <c r="W20"/>
  <c r="E16" i="2"/>
  <c r="AG18" i="1"/>
  <c r="AG20" s="1"/>
  <c r="E23" i="2" s="1"/>
  <c r="U20" i="1"/>
  <c r="E14" i="2"/>
  <c r="D32"/>
  <c r="D26"/>
  <c r="D20"/>
  <c r="D17"/>
  <c r="S17" i="1"/>
  <c r="R17"/>
  <c r="AI16"/>
  <c r="AH16"/>
  <c r="AH15"/>
  <c r="AH17"/>
  <c r="D24" i="2" s="1"/>
  <c r="AG16" i="1"/>
  <c r="H15"/>
  <c r="H17" s="1"/>
  <c r="D6" i="2" s="1"/>
  <c r="AI15" i="1"/>
  <c r="AG15"/>
  <c r="W15"/>
  <c r="W17"/>
  <c r="D16" i="2"/>
  <c r="U15" i="1"/>
  <c r="T15"/>
  <c r="T17"/>
  <c r="D13" i="2"/>
  <c r="G15" i="1"/>
  <c r="G17" s="1"/>
  <c r="D5" i="2" s="1"/>
  <c r="C32"/>
  <c r="C26"/>
  <c r="C20"/>
  <c r="C19"/>
  <c r="S14" i="1"/>
  <c r="R14"/>
  <c r="AH13"/>
  <c r="AG13"/>
  <c r="AI12"/>
  <c r="AI14" s="1"/>
  <c r="AH12"/>
  <c r="AH14"/>
  <c r="C24" i="2" s="1"/>
  <c r="AG12" i="1"/>
  <c r="AG14" s="1"/>
  <c r="U14"/>
  <c r="T14"/>
  <c r="C13" i="2"/>
  <c r="B32"/>
  <c r="B22"/>
  <c r="B20"/>
  <c r="S11" i="1"/>
  <c r="R11"/>
  <c r="AH10"/>
  <c r="AG10"/>
  <c r="W10"/>
  <c r="U10"/>
  <c r="T10"/>
  <c r="H10"/>
  <c r="G10"/>
  <c r="AI9"/>
  <c r="AI11"/>
  <c r="B25" i="2" s="1"/>
  <c r="AH9" i="1"/>
  <c r="AG9"/>
  <c r="AG11" s="1"/>
  <c r="B23" i="2" s="1"/>
  <c r="W9" i="1"/>
  <c r="W11"/>
  <c r="U9"/>
  <c r="T9"/>
  <c r="T11"/>
  <c r="B13" i="2"/>
  <c r="P9" i="1"/>
  <c r="P11"/>
  <c r="B12" i="2"/>
  <c r="N9" i="1"/>
  <c r="N11" s="1"/>
  <c r="B10" i="2" s="1"/>
  <c r="M9" i="1"/>
  <c r="M11"/>
  <c r="B9" i="2" s="1"/>
  <c r="H9" i="1"/>
  <c r="G9"/>
  <c r="G11" s="1"/>
  <c r="B5" i="2" s="1"/>
  <c r="B17"/>
  <c r="T89" i="1"/>
  <c r="AB13" i="2"/>
  <c r="T95" i="1"/>
  <c r="AD13" i="2"/>
  <c r="AE13"/>
  <c r="T41" i="1"/>
  <c r="L13" i="2"/>
  <c r="P13"/>
  <c r="Q16"/>
  <c r="S14"/>
  <c r="U12"/>
  <c r="W12"/>
  <c r="P77" i="1"/>
  <c r="X12" i="2"/>
  <c r="U86" i="1"/>
  <c r="AA14" i="2"/>
  <c r="U92" i="1"/>
  <c r="AC14" i="2"/>
  <c r="P26" i="1"/>
  <c r="G12" i="2"/>
  <c r="U26" i="1"/>
  <c r="G14" i="2"/>
  <c r="P29" i="1"/>
  <c r="H12" i="2"/>
  <c r="U29" i="1"/>
  <c r="H14" i="2"/>
  <c r="N12"/>
  <c r="BR15" i="1"/>
  <c r="V20"/>
  <c r="E15" i="2"/>
  <c r="BR27" i="1"/>
  <c r="BR39"/>
  <c r="BR51"/>
  <c r="U15" i="2"/>
  <c r="V86" i="1"/>
  <c r="AA15" i="2"/>
  <c r="V89" i="1"/>
  <c r="AB15" i="2"/>
  <c r="BR90" i="1"/>
  <c r="BR81"/>
  <c r="BR93"/>
  <c r="BR45"/>
  <c r="BR78"/>
  <c r="BR54"/>
  <c r="BR9"/>
  <c r="Z21" i="2"/>
  <c r="W21"/>
  <c r="B19"/>
  <c r="D29" i="3"/>
  <c r="E29"/>
  <c r="F23"/>
  <c r="M21" i="2"/>
  <c r="N18"/>
  <c r="T18"/>
  <c r="T23" i="1"/>
  <c r="F13" i="2"/>
  <c r="J13"/>
  <c r="V35" i="1"/>
  <c r="J15" i="2"/>
  <c r="V14"/>
  <c r="V15"/>
  <c r="E21"/>
  <c r="F18"/>
  <c r="G18"/>
  <c r="I21"/>
  <c r="V78" i="1"/>
  <c r="V80"/>
  <c r="Y15" i="2"/>
  <c r="AE12"/>
  <c r="O16"/>
  <c r="F20"/>
  <c r="H18"/>
  <c r="I18"/>
  <c r="P18"/>
  <c r="S18"/>
  <c r="U18"/>
  <c r="BD26" i="1"/>
  <c r="M13" i="2"/>
  <c r="J26"/>
  <c r="F31"/>
  <c r="F45" i="3"/>
  <c r="V57" i="1"/>
  <c r="V92"/>
  <c r="AC15" i="2"/>
  <c r="BR30" i="1"/>
  <c r="B21" i="2"/>
  <c r="P89" i="1"/>
  <c r="AB12" i="2"/>
  <c r="M32" i="3"/>
  <c r="N44"/>
  <c r="E41"/>
  <c r="BH106" i="1"/>
  <c r="BH107"/>
  <c r="T38"/>
  <c r="K13" i="2"/>
  <c r="O13"/>
  <c r="T92" i="1"/>
  <c r="AC13" i="2"/>
  <c r="AH92" i="1"/>
  <c r="AC24" i="2" s="1"/>
  <c r="AZ20" i="1"/>
  <c r="E30" i="2" s="1"/>
  <c r="BD83" i="1"/>
  <c r="Z33" i="2"/>
  <c r="L44" i="3"/>
  <c r="F35"/>
  <c r="BD17" i="1"/>
  <c r="D33" i="2"/>
  <c r="U33"/>
  <c r="V33"/>
  <c r="L41" i="3"/>
  <c r="D14"/>
  <c r="L27"/>
  <c r="N54"/>
  <c r="N55" s="1"/>
  <c r="P86" i="1"/>
  <c r="AA12" i="2"/>
  <c r="Q12"/>
  <c r="P83" i="1"/>
  <c r="Z12" i="2"/>
  <c r="D42" i="3"/>
  <c r="Y18" i="2"/>
  <c r="AC18"/>
  <c r="AD18"/>
  <c r="T29" i="1"/>
  <c r="H13" i="2"/>
  <c r="V58" i="1"/>
  <c r="T12" i="2"/>
  <c r="U80" i="1"/>
  <c r="Y14" i="2"/>
  <c r="W92" i="1"/>
  <c r="AC16" i="2"/>
  <c r="U95" i="1"/>
  <c r="AD14" i="2"/>
  <c r="BK106" i="1"/>
  <c r="BK107"/>
  <c r="BD23"/>
  <c r="F33" i="2"/>
  <c r="BD35" i="1"/>
  <c r="J33" i="2"/>
  <c r="BD92" i="1"/>
  <c r="AC33" i="2"/>
  <c r="L45" i="3"/>
  <c r="N36"/>
  <c r="N32"/>
  <c r="M33" i="2"/>
  <c r="BD29" i="1"/>
  <c r="H33" i="2" s="1"/>
  <c r="BR16" i="1"/>
  <c r="BR63"/>
  <c r="BR69"/>
  <c r="BR72"/>
  <c r="BR87"/>
  <c r="BR18"/>
  <c r="F27" i="2"/>
  <c r="M29" i="3"/>
  <c r="AB105" i="1"/>
  <c r="AE105"/>
  <c r="AA33" i="2"/>
  <c r="BR84" i="1"/>
  <c r="AF105"/>
  <c r="G10" i="4" s="1"/>
  <c r="T15" i="2"/>
  <c r="V9" i="1"/>
  <c r="Q15" i="2"/>
  <c r="V26" i="1"/>
  <c r="G15" i="2"/>
  <c r="V15" i="1"/>
  <c r="V41"/>
  <c r="L15" i="2"/>
  <c r="U11" i="1"/>
  <c r="B14" i="2"/>
  <c r="U17" i="1"/>
  <c r="D14" i="2"/>
  <c r="N29" i="1"/>
  <c r="H10" i="2" s="1"/>
  <c r="T32" i="1"/>
  <c r="I13" i="2"/>
  <c r="W32" i="1"/>
  <c r="I16" i="2"/>
  <c r="N15"/>
  <c r="P15"/>
  <c r="P16"/>
  <c r="R14"/>
  <c r="T86" i="1"/>
  <c r="AA13" i="2"/>
  <c r="W86" i="1"/>
  <c r="AA16" i="2"/>
  <c r="V95" i="1"/>
  <c r="AD15" i="2"/>
  <c r="BI106" i="1"/>
  <c r="BI107"/>
  <c r="E12" i="3"/>
  <c r="BR75" i="1"/>
  <c r="V77"/>
  <c r="X15" i="2"/>
  <c r="O15"/>
  <c r="AH86" i="1"/>
  <c r="AA24" i="2" s="1"/>
  <c r="BE106" i="1"/>
  <c r="BE107" s="1"/>
  <c r="AX105"/>
  <c r="AX107"/>
  <c r="AX108"/>
  <c r="M53" i="3"/>
  <c r="X33" i="2"/>
  <c r="M41" i="1"/>
  <c r="L9" i="2" s="1"/>
  <c r="D24" i="3"/>
  <c r="N33" i="2"/>
  <c r="BR58" i="1"/>
  <c r="BD80"/>
  <c r="BR79"/>
  <c r="BR80" s="1"/>
  <c r="Y34" i="2" s="1"/>
  <c r="N41" i="3"/>
  <c r="N14"/>
  <c r="D15"/>
  <c r="D16" s="1"/>
  <c r="D39"/>
  <c r="E21"/>
  <c r="AZ89" i="1"/>
  <c r="AB30" i="2" s="1"/>
  <c r="L50" i="3"/>
  <c r="F26"/>
  <c r="F28" i="2"/>
  <c r="O37" i="1"/>
  <c r="E32" i="3"/>
  <c r="D23"/>
  <c r="Y33" i="2"/>
  <c r="N30" i="3"/>
  <c r="N31" s="1"/>
  <c r="L8"/>
  <c r="N24"/>
  <c r="E24"/>
  <c r="L51"/>
  <c r="M24"/>
  <c r="M20"/>
  <c r="C52"/>
  <c r="M27"/>
  <c r="E36"/>
  <c r="D31" i="2"/>
  <c r="T33"/>
  <c r="AZ77" i="1"/>
  <c r="X30" i="2" s="1"/>
  <c r="AZ41" i="1"/>
  <c r="L30" i="2" s="1"/>
  <c r="N18" i="3"/>
  <c r="L17"/>
  <c r="D32"/>
  <c r="O36" i="1"/>
  <c r="O38" s="1"/>
  <c r="K11" i="2" s="1"/>
  <c r="M32" i="1"/>
  <c r="I9" i="2" s="1"/>
  <c r="K16" i="3"/>
  <c r="K34"/>
  <c r="AH80" i="1"/>
  <c r="Y24" i="2" s="1"/>
  <c r="N33" i="3"/>
  <c r="N34" s="1"/>
  <c r="L33"/>
  <c r="AZ98" i="1"/>
  <c r="AE30" i="2" s="1"/>
  <c r="AH98" i="1"/>
  <c r="AE24" i="2" s="1"/>
  <c r="AG103" i="1"/>
  <c r="AI103"/>
  <c r="AK103"/>
  <c r="AV105"/>
  <c r="AV107"/>
  <c r="AV108"/>
  <c r="BB105"/>
  <c r="AF23" i="2"/>
  <c r="AF13"/>
  <c r="N51" i="3"/>
  <c r="AF33" i="2"/>
  <c r="AF16"/>
  <c r="K55" i="3"/>
  <c r="BP105" i="1"/>
  <c r="BN109"/>
  <c r="BN110"/>
  <c r="L53" i="3"/>
  <c r="AF27" i="2"/>
  <c r="AF14"/>
  <c r="AF10"/>
  <c r="AE15"/>
  <c r="L47" i="3"/>
  <c r="D7" i="2"/>
  <c r="Q33"/>
  <c r="D11" i="3"/>
  <c r="H29" i="1"/>
  <c r="H6" i="2" s="1"/>
  <c r="C14"/>
  <c r="R33"/>
  <c r="BP109" i="1"/>
  <c r="BP110"/>
  <c r="AU105"/>
  <c r="AU107"/>
  <c r="AU108"/>
  <c r="AT105"/>
  <c r="AT107"/>
  <c r="AT108"/>
  <c r="AW105"/>
  <c r="AW107"/>
  <c r="AW108"/>
  <c r="BN105"/>
  <c r="L11" i="3"/>
  <c r="O78" i="1"/>
  <c r="O80" s="1"/>
  <c r="Y11" i="2" s="1"/>
  <c r="M23" i="3"/>
  <c r="M25" s="1"/>
  <c r="AF30" i="2"/>
  <c r="AK83" i="1"/>
  <c r="Z27" i="2" s="1"/>
  <c r="AZ92" i="1"/>
  <c r="AC30" i="2" s="1"/>
  <c r="N39" i="3"/>
  <c r="K19"/>
  <c r="N17"/>
  <c r="L18"/>
  <c r="BR43" i="1"/>
  <c r="BR44" s="1"/>
  <c r="M34" i="2" s="1"/>
  <c r="U30"/>
  <c r="W14" i="1"/>
  <c r="C16" i="2"/>
  <c r="T20" i="1"/>
  <c r="E13" i="2"/>
  <c r="V23" i="1"/>
  <c r="F15" i="2"/>
  <c r="W26" i="1"/>
  <c r="G16" i="2"/>
  <c r="U32" i="1"/>
  <c r="I14" i="2"/>
  <c r="V32" i="1"/>
  <c r="I15" i="2"/>
  <c r="P38" i="1"/>
  <c r="K12" i="2"/>
  <c r="V36" i="1"/>
  <c r="U83"/>
  <c r="Z14" i="2"/>
  <c r="V83" i="1"/>
  <c r="Z15" i="2"/>
  <c r="W15"/>
  <c r="BC11" i="1"/>
  <c r="AG80"/>
  <c r="Y23" i="2" s="1"/>
  <c r="V14" i="1"/>
  <c r="C15" i="2"/>
  <c r="K46" i="3"/>
  <c r="G77" i="1"/>
  <c r="X5" i="2" s="1"/>
  <c r="AL34" i="1"/>
  <c r="AM34" s="1"/>
  <c r="G86"/>
  <c r="AA5" i="2" s="1"/>
  <c r="G98" i="1"/>
  <c r="AE5" i="2" s="1"/>
  <c r="V29" i="1"/>
  <c r="H15" i="2"/>
  <c r="AC105" i="1"/>
  <c r="AD30" i="2"/>
  <c r="J10"/>
  <c r="Z6"/>
  <c r="AC9"/>
  <c r="E17" i="3"/>
  <c r="C12" i="2"/>
  <c r="M35" i="1"/>
  <c r="J9" i="2" s="1"/>
  <c r="O19" i="1"/>
  <c r="L15" i="3"/>
  <c r="O60" i="1"/>
  <c r="R5" i="2"/>
  <c r="O94" i="1"/>
  <c r="C19" i="3"/>
  <c r="AI50" i="1"/>
  <c r="O25" i="2" s="1"/>
  <c r="M50" i="1"/>
  <c r="O9" i="2" s="1"/>
  <c r="J105" i="1"/>
  <c r="S105"/>
  <c r="BQ105"/>
  <c r="I105"/>
  <c r="AJ105"/>
  <c r="AL108"/>
  <c r="E12" i="2"/>
  <c r="N56" i="1"/>
  <c r="Q10" i="2" s="1"/>
  <c r="M71" i="1"/>
  <c r="V9" i="2" s="1"/>
  <c r="AI62" i="1"/>
  <c r="S25" i="2" s="1"/>
  <c r="O72" i="1"/>
  <c r="BR55"/>
  <c r="BR56" s="1"/>
  <c r="Q34" i="2" s="1"/>
  <c r="G103" i="1"/>
  <c r="O96"/>
  <c r="AZ32"/>
  <c r="I30" i="2" s="1"/>
  <c r="AK17" i="1"/>
  <c r="D27" i="2" s="1"/>
  <c r="AK11" i="1"/>
  <c r="B27" i="2" s="1"/>
  <c r="AI47" i="1"/>
  <c r="N25" i="2" s="1"/>
  <c r="M47" i="1"/>
  <c r="N9" i="2" s="1"/>
  <c r="V31"/>
  <c r="W31"/>
  <c r="H92" i="1"/>
  <c r="AC6" i="2" s="1"/>
  <c r="G90" i="1"/>
  <c r="G92"/>
  <c r="AC5" i="2" s="1"/>
  <c r="V10" i="1"/>
  <c r="V11"/>
  <c r="U38"/>
  <c r="K14" i="2"/>
  <c r="V37" i="1"/>
  <c r="V38"/>
  <c r="K15" i="2"/>
  <c r="AH56" i="1"/>
  <c r="Q24" i="2" s="1"/>
  <c r="AG59" i="1"/>
  <c r="R23" i="2" s="1"/>
  <c r="AG65" i="1"/>
  <c r="T23" i="2" s="1"/>
  <c r="AH65" i="1"/>
  <c r="T24" i="2" s="1"/>
  <c r="BR24" i="1"/>
  <c r="AZ26"/>
  <c r="G30" i="2"/>
  <c r="AB33"/>
  <c r="BR99" i="1"/>
  <c r="M62"/>
  <c r="S9" i="2" s="1"/>
  <c r="O63" i="1"/>
  <c r="O65" s="1"/>
  <c r="T11" i="2" s="1"/>
  <c r="O82" i="1"/>
  <c r="AG92"/>
  <c r="AC23" i="2" s="1"/>
  <c r="AS105" i="1"/>
  <c r="AS107" s="1"/>
  <c r="AS108" s="1"/>
  <c r="K33" i="2"/>
  <c r="AZ56" i="1"/>
  <c r="Q30" i="2" s="1"/>
  <c r="BR60" i="1"/>
  <c r="AZ74"/>
  <c r="W30" i="2"/>
  <c r="BJ109" i="1"/>
  <c r="BJ110" s="1"/>
  <c r="L54" i="3"/>
  <c r="L55" s="1"/>
  <c r="BF106" i="1"/>
  <c r="V100"/>
  <c r="O99"/>
  <c r="V59"/>
  <c r="R15" i="2"/>
  <c r="BR48" i="1"/>
  <c r="BR57"/>
  <c r="BR59"/>
  <c r="R34" i="2" s="1"/>
  <c r="T59" i="1"/>
  <c r="S33" i="2"/>
  <c r="BM109" i="1"/>
  <c r="BM110"/>
  <c r="BQ109"/>
  <c r="BQ110"/>
  <c r="R13" i="2"/>
  <c r="BR10" i="1"/>
  <c r="BR11" s="1"/>
  <c r="B34" i="2" s="1"/>
  <c r="K40" i="3"/>
  <c r="L39"/>
  <c r="E42"/>
  <c r="E43" s="1"/>
  <c r="M14" i="1"/>
  <c r="C9" i="2" s="1"/>
  <c r="M44" i="1"/>
  <c r="M9" i="2" s="1"/>
  <c r="M86" i="1"/>
  <c r="AA9" i="2" s="1"/>
  <c r="AZ47" i="1"/>
  <c r="N30" i="2" s="1"/>
  <c r="R31"/>
  <c r="AZ103" i="1"/>
  <c r="M80"/>
  <c r="Y9" i="2" s="1"/>
  <c r="T31"/>
  <c r="M29" i="1"/>
  <c r="H9" i="2" s="1"/>
  <c r="H11" i="1"/>
  <c r="B6" i="2" s="1"/>
  <c r="AA31"/>
  <c r="M36" i="3"/>
  <c r="O40" i="1"/>
  <c r="D48" i="3"/>
  <c r="E48"/>
  <c r="Q31" i="2"/>
  <c r="M26" i="3"/>
  <c r="L26"/>
  <c r="L28" s="1"/>
  <c r="K28"/>
  <c r="O66" i="1"/>
  <c r="Y105"/>
  <c r="BI105"/>
  <c r="R105"/>
  <c r="W38"/>
  <c r="AI80"/>
  <c r="Y25" i="2" s="1"/>
  <c r="BJ105" i="1"/>
  <c r="BM105"/>
  <c r="BO105"/>
  <c r="AZ11"/>
  <c r="B30" i="2" s="1"/>
  <c r="O100" i="1"/>
  <c r="V99"/>
  <c r="O46"/>
  <c r="O73"/>
  <c r="O27"/>
  <c r="O91"/>
  <c r="O67"/>
  <c r="BR36"/>
  <c r="BO109"/>
  <c r="BO110"/>
  <c r="AD33" i="2"/>
  <c r="BR25" i="1"/>
  <c r="BR26" s="1"/>
  <c r="G34" i="2" s="1"/>
  <c r="BD11" i="1"/>
  <c r="B33" i="2" s="1"/>
  <c r="BF109" i="1"/>
  <c r="BF110"/>
  <c r="BF107"/>
  <c r="AI92"/>
  <c r="AC25" i="2" s="1"/>
  <c r="L105" i="1"/>
  <c r="BK105"/>
  <c r="BI109"/>
  <c r="BI110"/>
  <c r="BE109"/>
  <c r="BE110"/>
  <c r="G71"/>
  <c r="V5" i="2" s="1"/>
  <c r="K16"/>
  <c r="N38" i="1"/>
  <c r="K10" i="2" s="1"/>
  <c r="N68" i="1"/>
  <c r="U10" i="2" s="1"/>
  <c r="C10" i="3"/>
  <c r="AZ35" i="1"/>
  <c r="J30" i="2" s="1"/>
  <c r="AZ29" i="1"/>
  <c r="H30" i="2" s="1"/>
  <c r="AK65" i="1"/>
  <c r="T27" i="2" s="1"/>
  <c r="N20" i="3"/>
  <c r="AK98" i="1"/>
  <c r="AE27" i="2" s="1"/>
  <c r="AQ105" i="1"/>
  <c r="AQ107" s="1"/>
  <c r="AQ108" s="1"/>
  <c r="K22" i="3"/>
  <c r="N8"/>
  <c r="A71" i="4"/>
  <c r="AH11" i="1"/>
  <c r="B24" i="2" s="1"/>
  <c r="O9" i="1"/>
  <c r="AK20"/>
  <c r="E27" i="2" s="1"/>
  <c r="N20" i="1"/>
  <c r="E10" i="2"/>
  <c r="M20" i="1"/>
  <c r="E9" i="2"/>
  <c r="AZ38" i="1"/>
  <c r="K30" i="2" s="1"/>
  <c r="C34" i="3"/>
  <c r="AI35" i="1"/>
  <c r="J25" i="2" s="1"/>
  <c r="AI44" i="1"/>
  <c r="M25" i="2" s="1"/>
  <c r="N44" i="1"/>
  <c r="M10" i="2" s="1"/>
  <c r="M77" i="1"/>
  <c r="X9" i="2" s="1"/>
  <c r="N50" i="3"/>
  <c r="N52" s="1"/>
  <c r="K52"/>
  <c r="G33" i="2"/>
  <c r="AZ23" i="1"/>
  <c r="F30" i="2"/>
  <c r="M23" i="1"/>
  <c r="F9" i="2" s="1"/>
  <c r="AI68" i="1"/>
  <c r="U25" i="2" s="1"/>
  <c r="M65" i="1"/>
  <c r="T9" i="2" s="1"/>
  <c r="AK59" i="1"/>
  <c r="R27" i="2" s="1"/>
  <c r="N53" i="1"/>
  <c r="P10" i="2" s="1"/>
  <c r="AZ50" i="1"/>
  <c r="O30" i="2" s="1"/>
  <c r="B15"/>
  <c r="D25" i="3"/>
  <c r="AG41" i="1"/>
  <c r="L23" i="2" s="1"/>
  <c r="AH71" i="1"/>
  <c r="V24" i="2" s="1"/>
  <c r="AG74" i="1"/>
  <c r="W23" i="2" s="1"/>
  <c r="T80" i="1"/>
  <c r="W80"/>
  <c r="Y16" i="2"/>
  <c r="AG86" i="1"/>
  <c r="AA23" i="2" s="1"/>
  <c r="L33"/>
  <c r="E33"/>
  <c r="P33"/>
  <c r="O45" i="1"/>
  <c r="V61"/>
  <c r="V62"/>
  <c r="S15" i="2"/>
  <c r="T62" i="1"/>
  <c r="S13" i="2"/>
  <c r="O102" i="1"/>
  <c r="AF11" i="2"/>
  <c r="V102" i="1"/>
  <c r="U103"/>
  <c r="U105"/>
  <c r="AG98"/>
  <c r="AE23" i="2" s="1"/>
  <c r="V16" i="1"/>
  <c r="V17"/>
  <c r="D15" i="2"/>
  <c r="AG44" i="1"/>
  <c r="M23" i="2" s="1"/>
  <c r="O33" i="1"/>
  <c r="O48"/>
  <c r="O84"/>
  <c r="M98"/>
  <c r="AE9" i="2" s="1"/>
  <c r="N83" i="1"/>
  <c r="Z10" i="2" s="1"/>
  <c r="B16"/>
  <c r="W105" i="1"/>
  <c r="Y13" i="2"/>
  <c r="T105" i="1"/>
  <c r="O33" i="2"/>
  <c r="O20" i="1"/>
  <c r="E11" i="2" s="1"/>
  <c r="M89" i="1"/>
  <c r="AB9" i="2" s="1"/>
  <c r="AZ86" i="1"/>
  <c r="AA30" i="2"/>
  <c r="F27" i="3"/>
  <c r="E27"/>
  <c r="D26"/>
  <c r="AI23" i="1"/>
  <c r="F25" i="2" s="1"/>
  <c r="AK95" i="1"/>
  <c r="AD27" i="2" s="1"/>
  <c r="D41" i="3"/>
  <c r="K13"/>
  <c r="AK56" i="1"/>
  <c r="Q27" i="2" s="1"/>
  <c r="AM101" i="1"/>
  <c r="O90"/>
  <c r="O92" s="1"/>
  <c r="AC11" i="2" s="1"/>
  <c r="O87" i="1"/>
  <c r="BL109"/>
  <c r="BL110"/>
  <c r="O68"/>
  <c r="U11" i="2" s="1"/>
  <c r="C46" i="3"/>
  <c r="E45"/>
  <c r="F17"/>
  <c r="N17" i="1"/>
  <c r="D10" i="2"/>
  <c r="C13" i="3"/>
  <c r="AZ12" i="1"/>
  <c r="AO14"/>
  <c r="AO105" s="1"/>
  <c r="AO107" s="1"/>
  <c r="AO108" s="1"/>
  <c r="BR12"/>
  <c r="AZ14"/>
  <c r="C30" i="2" s="1"/>
  <c r="AG50" i="1"/>
  <c r="O23" i="2" s="1"/>
  <c r="D47" i="3"/>
  <c r="C49"/>
  <c r="AK44" i="1"/>
  <c r="M27" i="2" s="1"/>
  <c r="AZ71" i="1"/>
  <c r="V30" i="2" s="1"/>
  <c r="O70" i="1"/>
  <c r="O71" s="1"/>
  <c r="V11" i="2" s="1"/>
  <c r="N15" i="3"/>
  <c r="N16" s="1"/>
  <c r="AK86" i="1"/>
  <c r="AA27" i="2" s="1"/>
  <c r="AN101" i="1"/>
  <c r="AF15" i="2"/>
  <c r="L46" i="3"/>
  <c r="AK89" i="1"/>
  <c r="AB27" i="2" s="1"/>
  <c r="AZ44" i="1"/>
  <c r="M30" i="2"/>
  <c r="L48" i="3"/>
  <c r="L49" s="1"/>
  <c r="N48"/>
  <c r="N49" s="1"/>
  <c r="AK74" i="1"/>
  <c r="W27" i="2" s="1"/>
  <c r="F15" i="3"/>
  <c r="AK14" i="1"/>
  <c r="C27" i="2" s="1"/>
  <c r="D12" i="3"/>
  <c r="D13" s="1"/>
  <c r="O11" i="1"/>
  <c r="B11" i="2" s="1"/>
  <c r="L21" i="3"/>
  <c r="AZ65" i="1"/>
  <c r="T30" i="2"/>
  <c r="BR64" i="1"/>
  <c r="BR65"/>
  <c r="T34" i="2" s="1"/>
  <c r="N65" i="1"/>
  <c r="T10" i="2" s="1"/>
  <c r="G56" i="1"/>
  <c r="Q5" i="2" s="1"/>
  <c r="P25"/>
  <c r="AH53" i="1"/>
  <c r="P24" i="2" s="1"/>
  <c r="G50" i="1"/>
  <c r="O5" i="2" s="1"/>
  <c r="H47" i="1"/>
  <c r="N6" i="2" s="1"/>
  <c r="AH44" i="1"/>
  <c r="M24" i="2" s="1"/>
  <c r="BR34" i="1"/>
  <c r="BA35"/>
  <c r="BR35"/>
  <c r="J34" i="2" s="1"/>
  <c r="J31"/>
  <c r="AK80" i="1"/>
  <c r="Y27" i="2" s="1"/>
  <c r="AH77" i="1"/>
  <c r="X24" i="2" s="1"/>
  <c r="O74" i="1"/>
  <c r="W11" i="2" s="1"/>
  <c r="H74" i="1"/>
  <c r="W6" i="2" s="1"/>
  <c r="H95" i="1"/>
  <c r="AD6" i="2" s="1"/>
  <c r="AI17" i="1"/>
  <c r="D25" i="2" s="1"/>
  <c r="BH109" i="1"/>
  <c r="AK68"/>
  <c r="U27" i="2" s="1"/>
  <c r="M68" i="1"/>
  <c r="U9" i="2" s="1"/>
  <c r="K105" i="1"/>
  <c r="BH110"/>
  <c r="AK41"/>
  <c r="L27" i="2" s="1"/>
  <c r="AK53" i="1"/>
  <c r="P27" i="2" s="1"/>
  <c r="AK50" i="1"/>
  <c r="O27" i="2" s="1"/>
  <c r="AK47" i="1"/>
  <c r="N27" i="2" s="1"/>
  <c r="K37" i="3"/>
  <c r="AK71" i="1"/>
  <c r="V27" i="2" s="1"/>
  <c r="AL71" i="1"/>
  <c r="P103"/>
  <c r="AL103"/>
  <c r="AM102"/>
  <c r="BR103"/>
  <c r="V103"/>
  <c r="V105"/>
  <c r="O101"/>
  <c r="O103"/>
  <c r="AL92"/>
  <c r="AK92"/>
  <c r="AC27" i="2" s="1"/>
  <c r="AN102" i="1"/>
  <c r="AM103"/>
  <c r="AN103"/>
  <c r="AF28" i="2"/>
  <c r="AM92" i="1"/>
  <c r="AC28" i="2" s="1"/>
  <c r="O97" i="1"/>
  <c r="O98" s="1"/>
  <c r="AE11" i="2" s="1"/>
  <c r="AL13" i="1"/>
  <c r="AM13" s="1"/>
  <c r="AN13" s="1"/>
  <c r="BR17"/>
  <c r="D34" i="2" s="1"/>
  <c r="F21" i="3"/>
  <c r="AM71" i="1"/>
  <c r="V28" i="2" s="1"/>
  <c r="AG53" i="1"/>
  <c r="P23" i="2"/>
  <c r="G44" i="1"/>
  <c r="M5" i="2" s="1"/>
  <c r="J27"/>
  <c r="E30" i="3"/>
  <c r="D30"/>
  <c r="D31" s="1"/>
  <c r="C31"/>
  <c r="I5" i="2"/>
  <c r="AM85" i="1"/>
  <c r="AN85" s="1"/>
  <c r="AR105"/>
  <c r="AR107" s="1"/>
  <c r="AR108" s="1"/>
  <c r="M30" i="3"/>
  <c r="M31" s="1"/>
  <c r="BR73" i="1"/>
  <c r="BR74" s="1"/>
  <c r="W34" i="2" s="1"/>
  <c r="S5"/>
  <c r="BR98" i="1"/>
  <c r="AE34" i="2" s="1"/>
  <c r="AD23"/>
  <c r="AD9"/>
  <c r="AD10"/>
  <c r="O93" i="1"/>
  <c r="O95"/>
  <c r="AD11" i="2" s="1"/>
  <c r="G89" i="1" l="1"/>
  <c r="AB5" i="2" s="1"/>
  <c r="O83" i="1"/>
  <c r="Z11" i="2" s="1"/>
  <c r="O76" i="1"/>
  <c r="BG109"/>
  <c r="BR109" s="1"/>
  <c r="G68"/>
  <c r="U5" i="2" s="1"/>
  <c r="H68" i="1"/>
  <c r="U6" i="2" s="1"/>
  <c r="L22" i="3"/>
  <c r="O61" i="1"/>
  <c r="O62"/>
  <c r="S11" i="2" s="1"/>
  <c r="H59" i="1"/>
  <c r="R6" i="2" s="1"/>
  <c r="O49" i="1"/>
  <c r="O43"/>
  <c r="AM42"/>
  <c r="AN42" s="1"/>
  <c r="AL44"/>
  <c r="O41"/>
  <c r="L11" i="2" s="1"/>
  <c r="G41" i="1"/>
  <c r="L5" i="2" s="1"/>
  <c r="AH38" i="1"/>
  <c r="K24" i="2" s="1"/>
  <c r="AI38" i="1"/>
  <c r="K25" i="2" s="1"/>
  <c r="AG29" i="1"/>
  <c r="H23" i="2" s="1"/>
  <c r="O25" i="1"/>
  <c r="O18"/>
  <c r="AG17"/>
  <c r="D23" i="2" s="1"/>
  <c r="O15" i="1"/>
  <c r="BR106"/>
  <c r="BR92"/>
  <c r="AC34" i="2" s="1"/>
  <c r="BR52" i="1"/>
  <c r="BR53" s="1"/>
  <c r="P34" i="2" s="1"/>
  <c r="AG89" i="1"/>
  <c r="AB23" i="2" s="1"/>
  <c r="L38" i="3"/>
  <c r="N38"/>
  <c r="N40" s="1"/>
  <c r="AG68" i="1"/>
  <c r="U23" i="2" s="1"/>
  <c r="E31" i="3"/>
  <c r="AK32" i="1"/>
  <c r="I27" i="2" s="1"/>
  <c r="N89" i="1"/>
  <c r="AB10" i="2" s="1"/>
  <c r="N86" i="1"/>
  <c r="AA10" i="2" s="1"/>
  <c r="H80" i="1"/>
  <c r="Y6" i="2" s="1"/>
  <c r="O75" i="1"/>
  <c r="O77" s="1"/>
  <c r="X11" i="2" s="1"/>
  <c r="AM63" i="1"/>
  <c r="AM65" s="1"/>
  <c r="AL65"/>
  <c r="O55"/>
  <c r="H53"/>
  <c r="P6" i="2" s="1"/>
  <c r="N47" i="1"/>
  <c r="N10" i="2" s="1"/>
  <c r="O47" i="1"/>
  <c r="N11" i="2" s="1"/>
  <c r="AK38" i="1"/>
  <c r="K27" i="2" s="1"/>
  <c r="O24" i="1"/>
  <c r="O26" s="1"/>
  <c r="G11" i="2" s="1"/>
  <c r="N26" i="1"/>
  <c r="G10" i="2" s="1"/>
  <c r="O29" i="1"/>
  <c r="H11" i="2" s="1"/>
  <c r="O21" i="1"/>
  <c r="O22"/>
  <c r="O12"/>
  <c r="M22" i="3"/>
  <c r="L52"/>
  <c r="AF36" i="2"/>
  <c r="M13" i="3"/>
  <c r="M34"/>
  <c r="D9"/>
  <c r="AK29" i="1"/>
  <c r="H27" i="2" s="1"/>
  <c r="F28" i="3"/>
  <c r="AN92" i="1"/>
  <c r="AC36" i="2"/>
  <c r="O88" i="1"/>
  <c r="M40" i="3"/>
  <c r="O85" i="1"/>
  <c r="O86" s="1"/>
  <c r="AA11" i="2" s="1"/>
  <c r="M43" i="3"/>
  <c r="O89" i="1"/>
  <c r="AB11" i="2" s="1"/>
  <c r="BK109" i="1"/>
  <c r="BK110" s="1"/>
  <c r="AK77"/>
  <c r="X27" i="2" s="1"/>
  <c r="AN71" i="1"/>
  <c r="V36" i="2"/>
  <c r="AH68" i="1"/>
  <c r="U24" i="2" s="1"/>
  <c r="AM66" i="1"/>
  <c r="AN66" s="1"/>
  <c r="AL68"/>
  <c r="N19" i="3"/>
  <c r="M19"/>
  <c r="O59" i="1"/>
  <c r="R11" i="2" s="1"/>
  <c r="P30"/>
  <c r="AZ105" i="1"/>
  <c r="C106" s="1"/>
  <c r="O53"/>
  <c r="P11" i="2" s="1"/>
  <c r="G53" i="1"/>
  <c r="P5" i="2" s="1"/>
  <c r="E49" i="3"/>
  <c r="O50" i="1"/>
  <c r="O11" i="2" s="1"/>
  <c r="AM48" i="1"/>
  <c r="AL50"/>
  <c r="D49" i="3"/>
  <c r="O42" i="1"/>
  <c r="O44" s="1"/>
  <c r="M11" i="2" s="1"/>
  <c r="O34" i="1"/>
  <c r="O35"/>
  <c r="J11" i="2" s="1"/>
  <c r="AM33" i="1"/>
  <c r="AN33" s="1"/>
  <c r="AL35"/>
  <c r="O30"/>
  <c r="O32" s="1"/>
  <c r="I11" i="2" s="1"/>
  <c r="AM27" i="1"/>
  <c r="AL29"/>
  <c r="E28" i="3"/>
  <c r="D28"/>
  <c r="E25"/>
  <c r="C25"/>
  <c r="F25"/>
  <c r="O16" i="1"/>
  <c r="D105"/>
  <c r="O13"/>
  <c r="AP105"/>
  <c r="AP107" s="1"/>
  <c r="AP108" s="1"/>
  <c r="AM9"/>
  <c r="AL11"/>
  <c r="F10" i="3"/>
  <c r="BR107" i="1"/>
  <c r="BD105"/>
  <c r="C107" s="1"/>
  <c r="W33" i="2"/>
  <c r="BG110" i="1"/>
  <c r="BR110" s="1"/>
  <c r="BG105"/>
  <c r="BA105"/>
  <c r="C109" s="1"/>
  <c r="BR20"/>
  <c r="E34" i="2" s="1"/>
  <c r="BR105" i="1"/>
  <c r="M52" i="3"/>
  <c r="AL86" i="1"/>
  <c r="AM84"/>
  <c r="L40" i="3"/>
  <c r="AL83" i="1"/>
  <c r="AM78"/>
  <c r="AN78" s="1"/>
  <c r="AL80"/>
  <c r="L34" i="3"/>
  <c r="K31"/>
  <c r="AL74" i="1"/>
  <c r="AM72"/>
  <c r="M28" i="3"/>
  <c r="L19"/>
  <c r="L16"/>
  <c r="M14"/>
  <c r="M16" s="1"/>
  <c r="N10"/>
  <c r="M9"/>
  <c r="M10" s="1"/>
  <c r="E46"/>
  <c r="F43"/>
  <c r="D43"/>
  <c r="E37"/>
  <c r="F37"/>
  <c r="F31"/>
  <c r="F24" i="2"/>
  <c r="E22" i="3"/>
  <c r="F19"/>
  <c r="G108" i="4"/>
  <c r="G44"/>
  <c r="G76"/>
  <c r="C23" i="2"/>
  <c r="C25"/>
  <c r="AI105" i="1"/>
  <c r="E13" i="3"/>
  <c r="AM96" i="1"/>
  <c r="AL98"/>
  <c r="AM93"/>
  <c r="AL95"/>
  <c r="AL89"/>
  <c r="AN79"/>
  <c r="AM80"/>
  <c r="AL77"/>
  <c r="AM75"/>
  <c r="C105"/>
  <c r="G8" i="4" s="1"/>
  <c r="G74" s="1"/>
  <c r="AL62" i="1"/>
  <c r="M59"/>
  <c r="R9" i="2" s="1"/>
  <c r="AL59" i="1"/>
  <c r="O54"/>
  <c r="O56" s="1"/>
  <c r="Q11" i="2" s="1"/>
  <c r="AM55" i="1"/>
  <c r="AL56"/>
  <c r="M53"/>
  <c r="P9" i="2" s="1"/>
  <c r="AM51" i="1"/>
  <c r="AL53"/>
  <c r="AL47"/>
  <c r="AN43"/>
  <c r="AL41"/>
  <c r="AL38"/>
  <c r="AN34"/>
  <c r="AM35"/>
  <c r="AM30"/>
  <c r="AL32"/>
  <c r="AL26"/>
  <c r="G6" i="2"/>
  <c r="E105" i="1"/>
  <c r="AK26"/>
  <c r="AL20"/>
  <c r="D9" i="2"/>
  <c r="O17" i="1"/>
  <c r="D11" i="2" s="1"/>
  <c r="AL17" i="1"/>
  <c r="O14"/>
  <c r="C11" i="2" s="1"/>
  <c r="C10"/>
  <c r="C5"/>
  <c r="AM12" i="1"/>
  <c r="AL14"/>
  <c r="D2" i="2"/>
  <c r="A18" i="1"/>
  <c r="F34" i="3"/>
  <c r="F40"/>
  <c r="M46"/>
  <c r="F20"/>
  <c r="F22" s="1"/>
  <c r="C16"/>
  <c r="M47"/>
  <c r="M49" s="1"/>
  <c r="F51"/>
  <c r="N11"/>
  <c r="C43"/>
  <c r="C28"/>
  <c r="D20"/>
  <c r="D22" s="1"/>
  <c r="E33"/>
  <c r="E34" s="1"/>
  <c r="A39" i="4"/>
  <c r="D33" i="3"/>
  <c r="D34" s="1"/>
  <c r="K10"/>
  <c r="N21"/>
  <c r="N22" s="1"/>
  <c r="C40"/>
  <c r="E38"/>
  <c r="C22"/>
  <c r="D18"/>
  <c r="D19" s="1"/>
  <c r="E18"/>
  <c r="E19" s="1"/>
  <c r="L42"/>
  <c r="L43" s="1"/>
  <c r="D44"/>
  <c r="D46" s="1"/>
  <c r="D8"/>
  <c r="D10" s="1"/>
  <c r="E8"/>
  <c r="F50"/>
  <c r="E39"/>
  <c r="K43"/>
  <c r="D50"/>
  <c r="D52" s="1"/>
  <c r="K49"/>
  <c r="L12"/>
  <c r="L13" s="1"/>
  <c r="C37"/>
  <c r="N12"/>
  <c r="N13" s="1"/>
  <c r="N42"/>
  <c r="N43" s="1"/>
  <c r="F44"/>
  <c r="F46" s="1"/>
  <c r="D38"/>
  <c r="D40" s="1"/>
  <c r="K25"/>
  <c r="M35"/>
  <c r="M37" s="1"/>
  <c r="N35"/>
  <c r="N37" s="1"/>
  <c r="N45"/>
  <c r="N46" s="1"/>
  <c r="L29"/>
  <c r="L31" s="1"/>
  <c r="F11"/>
  <c r="F13" s="1"/>
  <c r="F14"/>
  <c r="F16" s="1"/>
  <c r="D36"/>
  <c r="L9"/>
  <c r="L10" s="1"/>
  <c r="E9"/>
  <c r="D35"/>
  <c r="F47"/>
  <c r="F49" s="1"/>
  <c r="E51"/>
  <c r="E52" s="1"/>
  <c r="N23"/>
  <c r="N25" s="1"/>
  <c r="AG105" i="1" l="1"/>
  <c r="AN65"/>
  <c r="AN63"/>
  <c r="M105"/>
  <c r="AM44"/>
  <c r="N105"/>
  <c r="O23"/>
  <c r="F11" i="2" s="1"/>
  <c r="F36" s="1"/>
  <c r="AH105" i="1"/>
  <c r="T28" i="2"/>
  <c r="T36" s="1"/>
  <c r="H105" i="1"/>
  <c r="AM68"/>
  <c r="AN68" s="1"/>
  <c r="F52" i="3"/>
  <c r="L57"/>
  <c r="N59" s="1"/>
  <c r="G105" i="1"/>
  <c r="AN48"/>
  <c r="AM50"/>
  <c r="AM29"/>
  <c r="AN27"/>
  <c r="AM11"/>
  <c r="B28" i="2" s="1"/>
  <c r="B36" s="1"/>
  <c r="AN9" i="1"/>
  <c r="AN11" s="1"/>
  <c r="G42" i="4"/>
  <c r="AN84" i="1"/>
  <c r="AM86"/>
  <c r="AM83"/>
  <c r="AM74"/>
  <c r="AN72"/>
  <c r="M57" i="3"/>
  <c r="N66" s="1"/>
  <c r="E40"/>
  <c r="C54"/>
  <c r="F54"/>
  <c r="F66" s="1"/>
  <c r="AN96" i="1"/>
  <c r="AM98"/>
  <c r="AN93"/>
  <c r="AM95"/>
  <c r="AM89"/>
  <c r="G106" i="4"/>
  <c r="C110" i="1"/>
  <c r="AN80"/>
  <c r="Y28" i="2"/>
  <c r="Y36" s="1"/>
  <c r="AM77" i="1"/>
  <c r="AN75"/>
  <c r="U28" i="2"/>
  <c r="U36" s="1"/>
  <c r="AL105" i="1"/>
  <c r="AL107" s="1"/>
  <c r="AL109" s="1"/>
  <c r="AM62"/>
  <c r="AM59"/>
  <c r="AM56"/>
  <c r="AN55"/>
  <c r="AN51"/>
  <c r="AM53"/>
  <c r="AM47"/>
  <c r="M28" i="2"/>
  <c r="M36" s="1"/>
  <c r="AN44" i="1"/>
  <c r="AM41"/>
  <c r="AM38"/>
  <c r="J28" i="2"/>
  <c r="J36" s="1"/>
  <c r="AN35" i="1"/>
  <c r="AM32"/>
  <c r="AN30"/>
  <c r="G27" i="2"/>
  <c r="AK105" i="1"/>
  <c r="AM26"/>
  <c r="AM20"/>
  <c r="O105"/>
  <c r="AM17"/>
  <c r="AM14"/>
  <c r="AN12"/>
  <c r="A21"/>
  <c r="E2" i="2"/>
  <c r="N57" i="3"/>
  <c r="E10"/>
  <c r="D37"/>
  <c r="K57"/>
  <c r="D54"/>
  <c r="F56" s="1"/>
  <c r="E54" l="1"/>
  <c r="F63" s="1"/>
  <c r="O28" i="2"/>
  <c r="O36" s="1"/>
  <c r="AN50" i="1"/>
  <c r="F60" i="3"/>
  <c r="F61" s="1"/>
  <c r="AN29" i="1"/>
  <c r="H28" i="2"/>
  <c r="H36" s="1"/>
  <c r="AA28"/>
  <c r="AA36" s="1"/>
  <c r="AN86" i="1"/>
  <c r="AN83"/>
  <c r="Z28" i="2"/>
  <c r="Z36" s="1"/>
  <c r="W28"/>
  <c r="W36" s="1"/>
  <c r="AN74" i="1"/>
  <c r="AN98"/>
  <c r="AE28" i="2"/>
  <c r="AE36" s="1"/>
  <c r="AN95" i="1"/>
  <c r="AD28" i="2"/>
  <c r="AD36" s="1"/>
  <c r="AB28"/>
  <c r="AB36" s="1"/>
  <c r="AN89" i="1"/>
  <c r="X28" i="2"/>
  <c r="X36" s="1"/>
  <c r="AN77" i="1"/>
  <c r="S28" i="2"/>
  <c r="S36" s="1"/>
  <c r="AN62" i="1"/>
  <c r="R28" i="2"/>
  <c r="R36" s="1"/>
  <c r="AN59" i="1"/>
  <c r="Q28" i="2"/>
  <c r="Q36" s="1"/>
  <c r="AN56" i="1"/>
  <c r="AN53"/>
  <c r="P28" i="2"/>
  <c r="P36" s="1"/>
  <c r="N28"/>
  <c r="N36" s="1"/>
  <c r="AN47" i="1"/>
  <c r="L28" i="2"/>
  <c r="L36" s="1"/>
  <c r="AN41" i="1"/>
  <c r="AN38"/>
  <c r="K28" i="2"/>
  <c r="K36" s="1"/>
  <c r="AN32" i="1"/>
  <c r="I28" i="2"/>
  <c r="I36" s="1"/>
  <c r="G28"/>
  <c r="G36" s="1"/>
  <c r="AN26" i="1"/>
  <c r="E28" i="2"/>
  <c r="E36" s="1"/>
  <c r="AN20" i="1"/>
  <c r="D28" i="2"/>
  <c r="D36" s="1"/>
  <c r="AN17" i="1"/>
  <c r="C28" i="2"/>
  <c r="C36" s="1"/>
  <c r="AM105" i="1"/>
  <c r="G12" i="4" s="1"/>
  <c r="AN14" i="1"/>
  <c r="F2" i="2"/>
  <c r="A24" i="1"/>
  <c r="N63" i="3"/>
  <c r="N69"/>
  <c r="F68"/>
  <c r="G68" s="1"/>
  <c r="AN105" i="1" l="1"/>
  <c r="G78" i="4"/>
  <c r="G80" s="1"/>
  <c r="G110"/>
  <c r="G14"/>
  <c r="G17" s="1"/>
  <c r="G46"/>
  <c r="G48" s="1"/>
  <c r="G51" s="1"/>
  <c r="G2" i="2"/>
  <c r="A27" i="1"/>
  <c r="N64" i="3"/>
  <c r="N71"/>
  <c r="G83" i="4" l="1"/>
  <c r="G112"/>
  <c r="G115" s="1"/>
  <c r="G19"/>
  <c r="G21"/>
  <c r="G55"/>
  <c r="G53"/>
  <c r="H2" i="2"/>
  <c r="A30" i="1"/>
  <c r="G23" i="4" l="1"/>
  <c r="G87"/>
  <c r="G85"/>
  <c r="G119"/>
  <c r="G117"/>
  <c r="G57"/>
  <c r="I2" i="2"/>
  <c r="A33" i="1"/>
  <c r="G89" i="4" l="1"/>
  <c r="G121"/>
  <c r="J2" i="2"/>
  <c r="A36" i="1"/>
  <c r="K2" i="2" l="1"/>
  <c r="A39" i="1"/>
  <c r="A42" l="1"/>
  <c r="L2" i="2"/>
  <c r="A45" i="1" l="1"/>
  <c r="M2" i="2"/>
  <c r="A48" i="1" l="1"/>
  <c r="N2" i="2"/>
  <c r="A51" i="1" l="1"/>
  <c r="O2" i="2"/>
  <c r="A54" i="1" l="1"/>
  <c r="P2" i="2"/>
  <c r="A57" i="1" l="1"/>
  <c r="Q2" i="2"/>
  <c r="A60" i="1" l="1"/>
  <c r="R2" i="2"/>
  <c r="S2" l="1"/>
  <c r="A63" i="1"/>
  <c r="T2" i="2" l="1"/>
  <c r="A66" i="1"/>
  <c r="U2" i="2" l="1"/>
  <c r="A69" i="1"/>
  <c r="V2" i="2" l="1"/>
  <c r="A72" i="1"/>
  <c r="A75" l="1"/>
  <c r="W2" i="2"/>
  <c r="A78" i="1" l="1"/>
  <c r="X2" i="2"/>
  <c r="A81" i="1" l="1"/>
  <c r="Y2" i="2"/>
  <c r="A84" i="1" l="1"/>
  <c r="Z2" i="2"/>
  <c r="AA2" l="1"/>
  <c r="A87" i="1"/>
  <c r="A90" l="1"/>
  <c r="AB2" i="2"/>
  <c r="AC2" l="1"/>
  <c r="A93" i="1"/>
  <c r="AD2" i="2" l="1"/>
  <c r="A96" i="1"/>
  <c r="AE2" i="2" l="1"/>
  <c r="A99" i="1"/>
  <c r="AF2" i="2" s="1"/>
  <c r="A101" i="1"/>
</calcChain>
</file>

<file path=xl/sharedStrings.xml><?xml version="1.0" encoding="utf-8"?>
<sst xmlns="http://schemas.openxmlformats.org/spreadsheetml/2006/main" count="328" uniqueCount="160">
  <si>
    <t>OPERATIONS SUMMARY</t>
  </si>
  <si>
    <t xml:space="preserve"> </t>
  </si>
  <si>
    <t>DATE</t>
  </si>
  <si>
    <t>SHIFT</t>
  </si>
  <si>
    <t>GROSS PER POS</t>
  </si>
  <si>
    <t>CASH PER POS</t>
  </si>
  <si>
    <t>CASH DEPOSITED</t>
  </si>
  <si>
    <t>DATE DEPOSITED</t>
  </si>
  <si>
    <t>CASH SHORTAGE</t>
  </si>
  <si>
    <t>CASH OVERAGE</t>
  </si>
  <si>
    <t>GC PAYMENT</t>
  </si>
  <si>
    <t>CHECK PAYMENT</t>
  </si>
  <si>
    <t>BDO CREDIT</t>
  </si>
  <si>
    <t>TIP BDO</t>
  </si>
  <si>
    <t>BDO DISCOUNT</t>
  </si>
  <si>
    <t>BDO W/TAX</t>
  </si>
  <si>
    <t>BDO RECEIVABLE</t>
  </si>
  <si>
    <t>BDO TIP PAYABLE</t>
  </si>
  <si>
    <t>DINERS</t>
  </si>
  <si>
    <t>TIP DINERS</t>
  </si>
  <si>
    <t>DINERS DISCOUNT</t>
  </si>
  <si>
    <t>DINERS W/TAX</t>
  </si>
  <si>
    <t>DINERS RECEIVABLE</t>
  </si>
  <si>
    <t>REGULAR DISCOUNTS</t>
  </si>
  <si>
    <t>STOCKHOLDERS DISCOUNTS</t>
  </si>
  <si>
    <t>EMPLOYEES DISCOUNTS</t>
  </si>
  <si>
    <t>SENIOR DISCOUNTS</t>
  </si>
  <si>
    <t>CITY DELIVERY</t>
  </si>
  <si>
    <t>SERVICE CHARGE</t>
  </si>
  <si>
    <t>SERVICE CHARGE 8.00</t>
  </si>
  <si>
    <t>LOCAL TAX 2.00</t>
  </si>
  <si>
    <t>SALES</t>
  </si>
  <si>
    <t>NET SALES</t>
  </si>
  <si>
    <t>VAT</t>
  </si>
  <si>
    <t>MARKETING</t>
  </si>
  <si>
    <t>AR-EMPLOYEES</t>
  </si>
  <si>
    <t>Other Sales</t>
  </si>
  <si>
    <t>100% coupon</t>
  </si>
  <si>
    <t>EMPLOYEE'S SHARE 85%</t>
  </si>
  <si>
    <t>PROVISION FOR LOSSES 15%</t>
  </si>
  <si>
    <t>NON VAT SALES</t>
  </si>
  <si>
    <t>TOTAL OC</t>
  </si>
  <si>
    <t>MARKETING HEAD OFFICE</t>
  </si>
  <si>
    <t>am</t>
  </si>
  <si>
    <t>pm</t>
  </si>
  <si>
    <t>TOTAL</t>
  </si>
  <si>
    <t>DATE CLEARED</t>
  </si>
  <si>
    <t>TIP DINERS PAYABLE</t>
  </si>
  <si>
    <t>REGULAR DISCOUNT</t>
  </si>
  <si>
    <t>STOCKHOLDERS DISCOUNT</t>
  </si>
  <si>
    <t>EMPLOYEES DISCOUNT</t>
  </si>
  <si>
    <t>SENIOR CITIZEN DISCOUNT</t>
  </si>
  <si>
    <t>SC - Emp share</t>
  </si>
  <si>
    <t>SC - Provision for losses</t>
  </si>
  <si>
    <t>LOCAL TAX</t>
  </si>
  <si>
    <t>Sales - Non Vat</t>
  </si>
  <si>
    <t>Sales - Vatable</t>
  </si>
  <si>
    <t>Output VAT</t>
  </si>
  <si>
    <t>Officer Charge</t>
  </si>
  <si>
    <t>Marketing Charge</t>
  </si>
  <si>
    <t>Marketing HO</t>
  </si>
  <si>
    <t>A/R Employees</t>
  </si>
  <si>
    <t>Check (Should be zero)</t>
  </si>
  <si>
    <t>ANA MARIE SOSA</t>
  </si>
  <si>
    <t>GLENN BIARCAL</t>
  </si>
  <si>
    <t>CRECY IBARRA</t>
  </si>
  <si>
    <t>JOYCE DINO</t>
  </si>
  <si>
    <t>VALERO</t>
  </si>
  <si>
    <t>1-15</t>
  </si>
  <si>
    <t>16-31</t>
  </si>
  <si>
    <t>EMPLOYEE'S SERVICE CHARGE</t>
  </si>
  <si>
    <t>SERVICE CHARGE POS</t>
  </si>
  <si>
    <t>LOCA:L TAX 1.75</t>
  </si>
  <si>
    <t>LOCA:L TAX 2.00</t>
  </si>
  <si>
    <t>EMPLOYEE'S 85%</t>
  </si>
  <si>
    <t>COMPANY 15%</t>
  </si>
  <si>
    <t>Head Office Share</t>
  </si>
  <si>
    <t>Fixed Share - HO</t>
  </si>
  <si>
    <t>SC Share - HO(local tax-fixed share ho)*60%</t>
  </si>
  <si>
    <t>TOTAL HO SHARE</t>
  </si>
  <si>
    <t>PROVISION FOR TAXES AND LOSSES</t>
  </si>
  <si>
    <t>SC Share -HO(local tax-fixed share ho)*60%</t>
  </si>
  <si>
    <t>MANAGEMENT SHARE</t>
  </si>
  <si>
    <t>(local tax-fixed share ho)*40%</t>
  </si>
  <si>
    <t>TOTAL SERVICE CHARGE</t>
  </si>
  <si>
    <t>MARKETING EXPENSE</t>
  </si>
  <si>
    <t>Gross</t>
  </si>
  <si>
    <t>Service Charge</t>
  </si>
  <si>
    <t>PREPARED</t>
  </si>
  <si>
    <t>RECEIVED</t>
  </si>
  <si>
    <t>Please make check payable to TOSHMANIA FOOD INC.</t>
  </si>
  <si>
    <t>CONSULTANCY FEE</t>
  </si>
  <si>
    <t>Consultancy Fee</t>
  </si>
  <si>
    <t>Please make check payable to GRILLA ANTIPOLO FOOD CORP.</t>
  </si>
  <si>
    <t>THE OLD SPAGHETTI HOUSE-VALERO</t>
  </si>
  <si>
    <t>AR-OTHERS</t>
  </si>
  <si>
    <t>PARTICULARS</t>
  </si>
  <si>
    <t>AMOUNT</t>
  </si>
  <si>
    <t>JOANNE DEL ROSARIO</t>
  </si>
  <si>
    <t/>
  </si>
  <si>
    <t>OFFICERS CHARGES</t>
  </si>
  <si>
    <t>EMP. CHARGES</t>
  </si>
  <si>
    <t>EMP DISCOUNT</t>
  </si>
  <si>
    <t>TOTAL NET SALES</t>
  </si>
  <si>
    <t>DISCOUNTED</t>
  </si>
  <si>
    <t>12% VAT</t>
  </si>
  <si>
    <t>EXPANDED</t>
  </si>
  <si>
    <t>EXPANDED TAX</t>
  </si>
  <si>
    <t>DEPOSITS</t>
  </si>
  <si>
    <t>CHECK</t>
  </si>
  <si>
    <t>CASH</t>
  </si>
  <si>
    <t>ANGELO SANCHEZ</t>
  </si>
  <si>
    <t>NANCY PANTOJA</t>
  </si>
  <si>
    <t>AGUINALDO OJENDRAS</t>
  </si>
  <si>
    <t>NICASIO SALVADOR</t>
  </si>
  <si>
    <t>MA THERESE DOMINGO</t>
  </si>
  <si>
    <t>BENZEN CAHILIG</t>
  </si>
  <si>
    <t>END # 11497</t>
  </si>
  <si>
    <t>MYLA CALAR</t>
  </si>
  <si>
    <t>MIGUILITO BIROIN</t>
  </si>
  <si>
    <t>Toshco Inc</t>
  </si>
  <si>
    <t>VAN DOUGH</t>
  </si>
  <si>
    <t>QUANTITY</t>
  </si>
  <si>
    <t>COOKIES</t>
  </si>
  <si>
    <t>Oreo cream Cheese  Cookie</t>
  </si>
  <si>
    <t>Chocolate Chip</t>
  </si>
  <si>
    <t>Double Chocolate Chip</t>
  </si>
  <si>
    <t>Belgian White Chocolate - Cranberry</t>
  </si>
  <si>
    <t>Banana Walnut Chocolate Chip</t>
  </si>
  <si>
    <t>Lace Chocolate Cookie</t>
  </si>
  <si>
    <t>Chocolate Kiss</t>
  </si>
  <si>
    <t>Glutenfree Double Double Chocolate Chip</t>
  </si>
  <si>
    <t>Bacon Maple Chocolate Chip</t>
  </si>
  <si>
    <t>Carrot Cake Cookie Sandwich</t>
  </si>
  <si>
    <t>Peanut Butter Cookie Sandwich</t>
  </si>
  <si>
    <t>COOKIE BARS</t>
  </si>
  <si>
    <t>Decadent Salted Caramel-Chocolate Bar</t>
  </si>
  <si>
    <t>Choco-Caramel Oatmel Bar</t>
  </si>
  <si>
    <t>bir e-sales</t>
  </si>
  <si>
    <t xml:space="preserve"> vatable sales </t>
  </si>
  <si>
    <t>non-vat</t>
  </si>
  <si>
    <t>gross sales</t>
  </si>
  <si>
    <t>Amount Payable</t>
  </si>
  <si>
    <t>CAMILE ESPENOSA</t>
  </si>
  <si>
    <t xml:space="preserve"> 200- squid inc</t>
  </si>
  <si>
    <t>CHRISTIAN BRIONES</t>
  </si>
  <si>
    <t>EDDIBOY ESPELLETA</t>
  </si>
  <si>
    <t>FOR THE MONTH ENDED November 2015</t>
  </si>
  <si>
    <t>DECEMBER 1-15, 2015</t>
  </si>
  <si>
    <t>DECEMBER 16-31, 2015</t>
  </si>
  <si>
    <t>RUEL HAYAGAn</t>
  </si>
  <si>
    <t>CAMILLE ESPINOSA</t>
  </si>
  <si>
    <t>JEFFREY VILLNUEVA</t>
  </si>
  <si>
    <t>ISSACAR AREL</t>
  </si>
  <si>
    <t>SUNDAY</t>
  </si>
  <si>
    <t>FOR THE MONTH ENDED  APRIL 2018</t>
  </si>
  <si>
    <t>QDO</t>
  </si>
  <si>
    <t>SATURDAY</t>
  </si>
  <si>
    <t>HOLIDAY</t>
  </si>
  <si>
    <t>Picasso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</si>
</sst>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0.0%"/>
    <numFmt numFmtId="165" formatCode="\F\O\R\ \T\H\E\ \M\O\N\T\H\ \o\f\ mmmm\ yyyy"/>
    <numFmt numFmtId="166" formatCode="_(* #,##0.0_);_(* \(#,##0.0\);_(* &quot;-&quot;??_);_(@_)"/>
  </numFmts>
  <fonts count="1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name val="Arial"/>
      <family val="2"/>
    </font>
    <font>
      <sz val="8"/>
      <name val="Arial"/>
      <family val="2"/>
    </font>
    <font>
      <b/>
      <sz val="6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/>
      <top style="mediumDash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9" fontId="1" fillId="0" borderId="0" applyFont="0" applyFill="0" applyBorder="0" applyAlignment="0" applyProtection="0"/>
  </cellStyleXfs>
  <cellXfs count="217">
    <xf numFmtId="0" fontId="0" fillId="0" borderId="0" xfId="0"/>
    <xf numFmtId="0" fontId="2" fillId="0" borderId="0" xfId="0" applyFont="1"/>
    <xf numFmtId="0" fontId="2" fillId="0" borderId="0" xfId="0" applyFont="1" applyFill="1"/>
    <xf numFmtId="43" fontId="2" fillId="0" borderId="0" xfId="0" applyNumberFormat="1" applyFont="1"/>
    <xf numFmtId="0" fontId="3" fillId="0" borderId="0" xfId="0" applyFont="1"/>
    <xf numFmtId="0" fontId="2" fillId="0" borderId="0" xfId="0" applyFont="1" applyBorder="1"/>
    <xf numFmtId="0" fontId="2" fillId="0" borderId="0" xfId="0" applyFont="1" applyFill="1" applyBorder="1"/>
    <xf numFmtId="43" fontId="2" fillId="0" borderId="0" xfId="0" applyNumberFormat="1" applyFont="1" applyFill="1"/>
    <xf numFmtId="0" fontId="2" fillId="0" borderId="0" xfId="0" applyNumberFormat="1" applyFont="1" applyFill="1"/>
    <xf numFmtId="49" fontId="2" fillId="0" borderId="0" xfId="0" applyNumberFormat="1" applyFont="1"/>
    <xf numFmtId="0" fontId="3" fillId="0" borderId="0" xfId="0" applyFont="1" applyFill="1"/>
    <xf numFmtId="10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43" fontId="3" fillId="0" borderId="0" xfId="0" applyNumberFormat="1" applyFont="1"/>
    <xf numFmtId="9" fontId="3" fillId="0" borderId="0" xfId="0" applyNumberFormat="1" applyFont="1"/>
    <xf numFmtId="0" fontId="3" fillId="0" borderId="0" xfId="0" applyFont="1" applyBorder="1"/>
    <xf numFmtId="0" fontId="3" fillId="0" borderId="0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9" fontId="2" fillId="3" borderId="3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0" borderId="7" xfId="0" applyFont="1" applyBorder="1"/>
    <xf numFmtId="0" fontId="3" fillId="0" borderId="8" xfId="0" applyFont="1" applyBorder="1"/>
    <xf numFmtId="0" fontId="3" fillId="0" borderId="8" xfId="0" applyFont="1" applyFill="1" applyBorder="1"/>
    <xf numFmtId="0" fontId="3" fillId="3" borderId="8" xfId="0" applyFont="1" applyFill="1" applyBorder="1"/>
    <xf numFmtId="0" fontId="3" fillId="3" borderId="8" xfId="0" applyFont="1" applyFill="1" applyBorder="1" applyAlignment="1">
      <alignment horizontal="center"/>
    </xf>
    <xf numFmtId="0" fontId="3" fillId="4" borderId="8" xfId="0" applyFont="1" applyFill="1" applyBorder="1"/>
    <xf numFmtId="43" fontId="3" fillId="2" borderId="8" xfId="0" applyNumberFormat="1" applyFont="1" applyFill="1" applyBorder="1"/>
    <xf numFmtId="0" fontId="3" fillId="2" borderId="8" xfId="0" applyFont="1" applyFill="1" applyBorder="1"/>
    <xf numFmtId="43" fontId="3" fillId="0" borderId="8" xfId="0" applyNumberFormat="1" applyFont="1" applyFill="1" applyBorder="1"/>
    <xf numFmtId="15" fontId="3" fillId="0" borderId="0" xfId="0" applyNumberFormat="1" applyFont="1" applyBorder="1"/>
    <xf numFmtId="43" fontId="3" fillId="0" borderId="0" xfId="1" applyFont="1" applyFill="1" applyBorder="1"/>
    <xf numFmtId="43" fontId="3" fillId="3" borderId="0" xfId="1" applyFont="1" applyFill="1" applyBorder="1"/>
    <xf numFmtId="14" fontId="3" fillId="3" borderId="0" xfId="1" applyNumberFormat="1" applyFont="1" applyFill="1" applyBorder="1" applyAlignment="1">
      <alignment horizontal="center"/>
    </xf>
    <xf numFmtId="43" fontId="3" fillId="0" borderId="0" xfId="1" applyFont="1" applyBorder="1"/>
    <xf numFmtId="43" fontId="3" fillId="3" borderId="0" xfId="1" applyFont="1" applyFill="1" applyBorder="1" applyAlignment="1">
      <alignment horizontal="center"/>
    </xf>
    <xf numFmtId="43" fontId="3" fillId="4" borderId="0" xfId="1" applyFont="1" applyFill="1" applyBorder="1"/>
    <xf numFmtId="43" fontId="3" fillId="2" borderId="0" xfId="1" applyNumberFormat="1" applyFont="1" applyFill="1" applyBorder="1"/>
    <xf numFmtId="43" fontId="3" fillId="2" borderId="0" xfId="1" applyFont="1" applyFill="1" applyBorder="1"/>
    <xf numFmtId="43" fontId="3" fillId="0" borderId="0" xfId="1" applyNumberFormat="1" applyFont="1" applyFill="1" applyBorder="1"/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/>
    <xf numFmtId="43" fontId="2" fillId="0" borderId="10" xfId="1" applyFont="1" applyFill="1" applyBorder="1"/>
    <xf numFmtId="43" fontId="2" fillId="3" borderId="10" xfId="1" applyFont="1" applyFill="1" applyBorder="1"/>
    <xf numFmtId="43" fontId="2" fillId="0" borderId="10" xfId="1" applyFont="1" applyBorder="1"/>
    <xf numFmtId="43" fontId="2" fillId="3" borderId="10" xfId="1" applyFont="1" applyFill="1" applyBorder="1" applyAlignment="1">
      <alignment horizontal="center"/>
    </xf>
    <xf numFmtId="43" fontId="2" fillId="4" borderId="10" xfId="1" applyFont="1" applyFill="1" applyBorder="1"/>
    <xf numFmtId="43" fontId="2" fillId="2" borderId="10" xfId="1" applyFont="1" applyFill="1" applyBorder="1"/>
    <xf numFmtId="43" fontId="3" fillId="0" borderId="0" xfId="1" applyFont="1" applyFill="1"/>
    <xf numFmtId="43" fontId="3" fillId="3" borderId="0" xfId="1" applyFont="1" applyFill="1"/>
    <xf numFmtId="43" fontId="3" fillId="3" borderId="0" xfId="1" applyFont="1" applyFill="1" applyAlignment="1">
      <alignment horizontal="center"/>
    </xf>
    <xf numFmtId="43" fontId="3" fillId="0" borderId="0" xfId="1" applyFont="1"/>
    <xf numFmtId="43" fontId="3" fillId="4" borderId="0" xfId="1" applyFont="1" applyFill="1"/>
    <xf numFmtId="43" fontId="3" fillId="2" borderId="0" xfId="1" applyFont="1" applyFill="1"/>
    <xf numFmtId="0" fontId="2" fillId="0" borderId="11" xfId="0" applyFont="1" applyBorder="1"/>
    <xf numFmtId="43" fontId="2" fillId="0" borderId="11" xfId="1" applyFont="1" applyBorder="1"/>
    <xf numFmtId="0" fontId="5" fillId="0" borderId="0" xfId="0" applyFont="1"/>
    <xf numFmtId="0" fontId="5" fillId="0" borderId="0" xfId="0" applyFont="1" applyAlignment="1"/>
    <xf numFmtId="15" fontId="0" fillId="0" borderId="0" xfId="0" applyNumberFormat="1"/>
    <xf numFmtId="2" fontId="5" fillId="0" borderId="0" xfId="0" applyNumberFormat="1" applyFont="1"/>
    <xf numFmtId="2" fontId="0" fillId="0" borderId="0" xfId="0" applyNumberFormat="1"/>
    <xf numFmtId="43" fontId="5" fillId="0" borderId="0" xfId="0" applyNumberFormat="1" applyFont="1"/>
    <xf numFmtId="0" fontId="2" fillId="3" borderId="1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7" fillId="0" borderId="0" xfId="3" applyFont="1"/>
    <xf numFmtId="0" fontId="6" fillId="0" borderId="0" xfId="3"/>
    <xf numFmtId="49" fontId="7" fillId="0" borderId="0" xfId="3" applyNumberFormat="1" applyFont="1"/>
    <xf numFmtId="0" fontId="6" fillId="0" borderId="0" xfId="3" applyFont="1"/>
    <xf numFmtId="9" fontId="8" fillId="0" borderId="3" xfId="3" applyNumberFormat="1" applyFont="1" applyBorder="1" applyAlignment="1">
      <alignment horizontal="center" vertical="center" wrapText="1"/>
    </xf>
    <xf numFmtId="0" fontId="6" fillId="0" borderId="8" xfId="3" applyFont="1" applyBorder="1"/>
    <xf numFmtId="0" fontId="6" fillId="0" borderId="13" xfId="3" applyFont="1" applyBorder="1"/>
    <xf numFmtId="15" fontId="6" fillId="0" borderId="0" xfId="3" applyNumberFormat="1" applyFont="1" applyBorder="1"/>
    <xf numFmtId="43" fontId="6" fillId="0" borderId="0" xfId="2" applyFont="1" applyFill="1" applyBorder="1"/>
    <xf numFmtId="43" fontId="6" fillId="0" borderId="0" xfId="2" applyFont="1" applyBorder="1"/>
    <xf numFmtId="43" fontId="6" fillId="0" borderId="14" xfId="2" applyFont="1" applyBorder="1"/>
    <xf numFmtId="0" fontId="6" fillId="0" borderId="0" xfId="3" applyFont="1" applyBorder="1"/>
    <xf numFmtId="0" fontId="8" fillId="0" borderId="10" xfId="3" applyFont="1" applyBorder="1"/>
    <xf numFmtId="43" fontId="8" fillId="0" borderId="10" xfId="2" applyFont="1" applyFill="1" applyBorder="1"/>
    <xf numFmtId="43" fontId="8" fillId="0" borderId="10" xfId="2" applyFont="1" applyBorder="1"/>
    <xf numFmtId="43" fontId="8" fillId="0" borderId="15" xfId="2" applyFont="1" applyBorder="1"/>
    <xf numFmtId="43" fontId="6" fillId="0" borderId="0" xfId="2" applyFont="1"/>
    <xf numFmtId="0" fontId="8" fillId="0" borderId="11" xfId="3" applyFont="1" applyBorder="1"/>
    <xf numFmtId="43" fontId="8" fillId="0" borderId="11" xfId="2" applyFont="1" applyBorder="1"/>
    <xf numFmtId="0" fontId="8" fillId="0" borderId="0" xfId="3" applyFont="1"/>
    <xf numFmtId="43" fontId="8" fillId="0" borderId="16" xfId="3" applyNumberFormat="1" applyFont="1" applyBorder="1"/>
    <xf numFmtId="43" fontId="8" fillId="0" borderId="0" xfId="3" applyNumberFormat="1" applyFont="1"/>
    <xf numFmtId="43" fontId="8" fillId="0" borderId="11" xfId="3" applyNumberFormat="1" applyFont="1" applyBorder="1"/>
    <xf numFmtId="43" fontId="8" fillId="0" borderId="17" xfId="3" applyNumberFormat="1" applyFont="1" applyBorder="1"/>
    <xf numFmtId="0" fontId="6" fillId="5" borderId="0" xfId="3" applyFill="1"/>
    <xf numFmtId="0" fontId="8" fillId="5" borderId="0" xfId="3" applyFont="1" applyFill="1" applyProtection="1"/>
    <xf numFmtId="0" fontId="6" fillId="5" borderId="0" xfId="3" applyFill="1" applyProtection="1"/>
    <xf numFmtId="165" fontId="8" fillId="5" borderId="0" xfId="3" applyNumberFormat="1" applyFont="1" applyFill="1" applyAlignment="1" applyProtection="1"/>
    <xf numFmtId="43" fontId="6" fillId="5" borderId="0" xfId="3" applyNumberFormat="1" applyFill="1"/>
    <xf numFmtId="43" fontId="6" fillId="5" borderId="0" xfId="3" applyNumberFormat="1" applyFill="1" applyBorder="1"/>
    <xf numFmtId="43" fontId="6" fillId="5" borderId="18" xfId="3" applyNumberFormat="1" applyFill="1" applyBorder="1"/>
    <xf numFmtId="43" fontId="6" fillId="5" borderId="0" xfId="2" applyFill="1"/>
    <xf numFmtId="0" fontId="8" fillId="5" borderId="0" xfId="3" applyFont="1" applyFill="1"/>
    <xf numFmtId="10" fontId="8" fillId="5" borderId="0" xfId="3" applyNumberFormat="1" applyFont="1" applyFill="1"/>
    <xf numFmtId="43" fontId="8" fillId="5" borderId="19" xfId="2" applyFont="1" applyFill="1" applyBorder="1"/>
    <xf numFmtId="0" fontId="6" fillId="5" borderId="20" xfId="3" applyFill="1" applyBorder="1"/>
    <xf numFmtId="0" fontId="6" fillId="5" borderId="21" xfId="3" applyFill="1" applyBorder="1"/>
    <xf numFmtId="0" fontId="6" fillId="5" borderId="0" xfId="3" applyFill="1" applyBorder="1"/>
    <xf numFmtId="0" fontId="6" fillId="5" borderId="18" xfId="3" applyFill="1" applyBorder="1"/>
    <xf numFmtId="43" fontId="8" fillId="5" borderId="22" xfId="2" applyFont="1" applyFill="1" applyBorder="1"/>
    <xf numFmtId="43" fontId="8" fillId="5" borderId="19" xfId="3" applyNumberFormat="1" applyFont="1" applyFill="1" applyBorder="1"/>
    <xf numFmtId="43" fontId="8" fillId="5" borderId="0" xfId="3" applyNumberFormat="1" applyFont="1" applyFill="1" applyBorder="1"/>
    <xf numFmtId="43" fontId="8" fillId="5" borderId="0" xfId="3" applyNumberFormat="1" applyFont="1" applyFill="1"/>
    <xf numFmtId="0" fontId="6" fillId="5" borderId="0" xfId="3" applyFont="1" applyFill="1"/>
    <xf numFmtId="13" fontId="2" fillId="3" borderId="10" xfId="1" applyNumberFormat="1" applyFont="1" applyFill="1" applyBorder="1" applyAlignment="1">
      <alignment horizontal="center"/>
    </xf>
    <xf numFmtId="15" fontId="3" fillId="3" borderId="0" xfId="1" applyNumberFormat="1" applyFont="1" applyFill="1" applyBorder="1" applyAlignment="1">
      <alignment horizontal="center"/>
    </xf>
    <xf numFmtId="0" fontId="2" fillId="4" borderId="6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horizontal="center" vertical="center" wrapText="1"/>
    </xf>
    <xf numFmtId="43" fontId="2" fillId="4" borderId="11" xfId="1" applyFont="1" applyFill="1" applyBorder="1"/>
    <xf numFmtId="0" fontId="9" fillId="0" borderId="0" xfId="0" applyFont="1"/>
    <xf numFmtId="43" fontId="8" fillId="5" borderId="0" xfId="2" applyFont="1" applyFill="1" applyBorder="1"/>
    <xf numFmtId="15" fontId="8" fillId="0" borderId="23" xfId="3" applyNumberFormat="1" applyFont="1" applyBorder="1" applyAlignment="1">
      <alignment horizontal="center" vertical="center" wrapText="1"/>
    </xf>
    <xf numFmtId="15" fontId="8" fillId="0" borderId="24" xfId="3" applyNumberFormat="1" applyFont="1" applyBorder="1" applyAlignment="1">
      <alignment horizontal="center" vertical="center" wrapText="1"/>
    </xf>
    <xf numFmtId="0" fontId="6" fillId="0" borderId="7" xfId="3" applyFont="1" applyBorder="1"/>
    <xf numFmtId="0" fontId="8" fillId="0" borderId="9" xfId="3" applyFont="1" applyBorder="1" applyAlignment="1">
      <alignment horizontal="center" vertical="center" wrapText="1"/>
    </xf>
    <xf numFmtId="0" fontId="6" fillId="0" borderId="9" xfId="3" applyFont="1" applyBorder="1" applyAlignment="1">
      <alignment horizontal="center" vertical="center" wrapText="1"/>
    </xf>
    <xf numFmtId="43" fontId="6" fillId="0" borderId="0" xfId="3" applyNumberFormat="1" applyFont="1"/>
    <xf numFmtId="43" fontId="11" fillId="0" borderId="0" xfId="2" applyFont="1"/>
    <xf numFmtId="43" fontId="8" fillId="0" borderId="0" xfId="3" applyNumberFormat="1" applyFont="1" applyBorder="1"/>
    <xf numFmtId="0" fontId="8" fillId="0" borderId="0" xfId="3" applyFont="1" applyBorder="1"/>
    <xf numFmtId="4" fontId="8" fillId="0" borderId="0" xfId="3" applyNumberFormat="1" applyFont="1" applyAlignment="1">
      <alignment horizontal="right"/>
    </xf>
    <xf numFmtId="43" fontId="8" fillId="0" borderId="0" xfId="3" applyNumberFormat="1" applyFont="1" applyAlignment="1">
      <alignment horizontal="right"/>
    </xf>
    <xf numFmtId="43" fontId="2" fillId="0" borderId="11" xfId="1" applyFont="1" applyFill="1" applyBorder="1"/>
    <xf numFmtId="43" fontId="2" fillId="7" borderId="11" xfId="1" applyFont="1" applyFill="1" applyBorder="1"/>
    <xf numFmtId="0" fontId="11" fillId="0" borderId="0" xfId="0" applyFont="1"/>
    <xf numFmtId="0" fontId="3" fillId="4" borderId="0" xfId="0" quotePrefix="1" applyFont="1" applyFill="1"/>
    <xf numFmtId="0" fontId="3" fillId="4" borderId="0" xfId="0" applyFont="1" applyFill="1"/>
    <xf numFmtId="0" fontId="3" fillId="0" borderId="0" xfId="0" quotePrefix="1" applyFont="1"/>
    <xf numFmtId="0" fontId="3" fillId="6" borderId="0" xfId="0" quotePrefix="1" applyFont="1" applyFill="1"/>
    <xf numFmtId="0" fontId="3" fillId="6" borderId="0" xfId="0" applyFont="1" applyFill="1" applyBorder="1"/>
    <xf numFmtId="0" fontId="11" fillId="0" borderId="0" xfId="0" quotePrefix="1" applyFont="1"/>
    <xf numFmtId="9" fontId="2" fillId="0" borderId="0" xfId="0" applyNumberFormat="1" applyFont="1" applyAlignment="1">
      <alignment horizontal="center"/>
    </xf>
    <xf numFmtId="0" fontId="3" fillId="0" borderId="0" xfId="0" applyFont="1" applyAlignment="1">
      <alignment wrapText="1"/>
    </xf>
    <xf numFmtId="2" fontId="3" fillId="0" borderId="0" xfId="0" applyNumberFormat="1" applyFont="1"/>
    <xf numFmtId="15" fontId="11" fillId="0" borderId="0" xfId="0" applyNumberFormat="1" applyFont="1"/>
    <xf numFmtId="43" fontId="11" fillId="0" borderId="0" xfId="0" applyNumberFormat="1" applyFont="1"/>
    <xf numFmtId="43" fontId="11" fillId="0" borderId="0" xfId="4" applyNumberFormat="1" applyFont="1"/>
    <xf numFmtId="10" fontId="11" fillId="0" borderId="0" xfId="4" applyNumberFormat="1" applyFont="1"/>
    <xf numFmtId="43" fontId="11" fillId="0" borderId="0" xfId="1" applyFont="1"/>
    <xf numFmtId="43" fontId="3" fillId="4" borderId="0" xfId="0" applyNumberFormat="1" applyFont="1" applyFill="1"/>
    <xf numFmtId="43" fontId="3" fillId="0" borderId="17" xfId="0" applyNumberFormat="1" applyFont="1" applyBorder="1"/>
    <xf numFmtId="43" fontId="3" fillId="6" borderId="0" xfId="0" applyNumberFormat="1" applyFont="1" applyFill="1"/>
    <xf numFmtId="43" fontId="12" fillId="0" borderId="0" xfId="0" applyNumberFormat="1" applyFont="1"/>
    <xf numFmtId="43" fontId="10" fillId="0" borderId="0" xfId="1" applyFont="1"/>
    <xf numFmtId="14" fontId="3" fillId="3" borderId="0" xfId="1" applyNumberFormat="1" applyFont="1" applyFill="1" applyBorder="1"/>
    <xf numFmtId="0" fontId="2" fillId="0" borderId="24" xfId="0" applyFont="1" applyBorder="1" applyAlignment="1">
      <alignment horizontal="center" vertical="center" wrapText="1"/>
    </xf>
    <xf numFmtId="43" fontId="3" fillId="2" borderId="25" xfId="1" applyFont="1" applyFill="1" applyBorder="1"/>
    <xf numFmtId="43" fontId="3" fillId="0" borderId="26" xfId="1" applyNumberFormat="1" applyFont="1" applyFill="1" applyBorder="1"/>
    <xf numFmtId="0" fontId="2" fillId="0" borderId="27" xfId="0" applyFont="1" applyBorder="1" applyAlignment="1">
      <alignment horizontal="center" vertical="center" wrapText="1"/>
    </xf>
    <xf numFmtId="43" fontId="2" fillId="0" borderId="28" xfId="1" applyFont="1" applyFill="1" applyBorder="1"/>
    <xf numFmtId="43" fontId="2" fillId="8" borderId="10" xfId="1" applyFont="1" applyFill="1" applyBorder="1"/>
    <xf numFmtId="43" fontId="2" fillId="3" borderId="27" xfId="1" applyFont="1" applyFill="1" applyBorder="1"/>
    <xf numFmtId="43" fontId="3" fillId="0" borderId="10" xfId="1" applyFont="1" applyBorder="1"/>
    <xf numFmtId="43" fontId="3" fillId="3" borderId="10" xfId="1" applyFont="1" applyFill="1" applyBorder="1"/>
    <xf numFmtId="0" fontId="11" fillId="0" borderId="10" xfId="0" applyFont="1" applyBorder="1"/>
    <xf numFmtId="0" fontId="3" fillId="0" borderId="10" xfId="0" applyFont="1" applyBorder="1"/>
    <xf numFmtId="2" fontId="3" fillId="0" borderId="10" xfId="0" applyNumberFormat="1" applyFont="1" applyBorder="1"/>
    <xf numFmtId="43" fontId="3" fillId="0" borderId="29" xfId="1" applyFont="1" applyFill="1" applyBorder="1"/>
    <xf numFmtId="43" fontId="3" fillId="4" borderId="0" xfId="1" applyFont="1" applyFill="1" applyBorder="1" applyAlignment="1"/>
    <xf numFmtId="14" fontId="3" fillId="3" borderId="0" xfId="1" applyNumberFormat="1" applyFont="1" applyFill="1" applyBorder="1" applyAlignment="1"/>
    <xf numFmtId="43" fontId="2" fillId="3" borderId="10" xfId="1" applyFont="1" applyFill="1" applyBorder="1" applyAlignment="1"/>
    <xf numFmtId="166" fontId="3" fillId="2" borderId="0" xfId="1" applyNumberFormat="1" applyFont="1" applyFill="1" applyBorder="1"/>
    <xf numFmtId="43" fontId="2" fillId="8" borderId="10" xfId="1" applyFont="1" applyFill="1" applyBorder="1" applyAlignment="1"/>
    <xf numFmtId="0" fontId="2" fillId="0" borderId="1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5" fontId="2" fillId="0" borderId="23" xfId="0" applyNumberFormat="1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15" fontId="2" fillId="0" borderId="24" xfId="0" applyNumberFormat="1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5" fontId="2" fillId="0" borderId="35" xfId="0" applyNumberFormat="1" applyFont="1" applyBorder="1" applyAlignment="1">
      <alignment horizontal="center" vertical="center" wrapText="1"/>
    </xf>
    <xf numFmtId="15" fontId="2" fillId="0" borderId="36" xfId="0" applyNumberFormat="1" applyFont="1" applyBorder="1" applyAlignment="1">
      <alignment horizontal="center" vertical="center" wrapText="1"/>
    </xf>
    <xf numFmtId="15" fontId="8" fillId="0" borderId="23" xfId="3" applyNumberFormat="1" applyFont="1" applyBorder="1" applyAlignment="1">
      <alignment horizontal="center" vertical="center" wrapText="1"/>
    </xf>
    <xf numFmtId="15" fontId="8" fillId="0" borderId="24" xfId="3" applyNumberFormat="1" applyFont="1" applyBorder="1" applyAlignment="1">
      <alignment horizontal="center" vertical="center" wrapText="1"/>
    </xf>
    <xf numFmtId="0" fontId="8" fillId="0" borderId="1" xfId="3" applyFont="1" applyBorder="1" applyAlignment="1">
      <alignment horizontal="center" vertical="center" wrapText="1"/>
    </xf>
    <xf numFmtId="0" fontId="8" fillId="0" borderId="5" xfId="3" applyFont="1" applyBorder="1" applyAlignment="1">
      <alignment horizontal="center" vertical="center" wrapText="1"/>
    </xf>
    <xf numFmtId="0" fontId="8" fillId="0" borderId="33" xfId="3" applyFont="1" applyBorder="1" applyAlignment="1">
      <alignment horizontal="center" vertical="center" wrapText="1"/>
    </xf>
    <xf numFmtId="0" fontId="8" fillId="0" borderId="34" xfId="3" applyFont="1" applyBorder="1" applyAlignment="1">
      <alignment horizontal="center" vertical="center" wrapText="1"/>
    </xf>
    <xf numFmtId="0" fontId="8" fillId="0" borderId="12" xfId="3" applyFont="1" applyBorder="1" applyAlignment="1">
      <alignment horizontal="center" vertical="center" wrapText="1"/>
    </xf>
    <xf numFmtId="0" fontId="8" fillId="0" borderId="3" xfId="3" applyFont="1" applyBorder="1" applyAlignment="1">
      <alignment horizontal="center" vertical="center" wrapText="1"/>
    </xf>
    <xf numFmtId="0" fontId="8" fillId="0" borderId="2" xfId="3" applyFont="1" applyBorder="1" applyAlignment="1">
      <alignment horizontal="center" vertical="center" wrapText="1"/>
    </xf>
    <xf numFmtId="0" fontId="8" fillId="0" borderId="30" xfId="3" applyFont="1" applyBorder="1" applyAlignment="1">
      <alignment horizontal="center" vertical="center" wrapText="1"/>
    </xf>
  </cellXfs>
  <cellStyles count="5">
    <cellStyle name="Comma" xfId="1" builtinId="3"/>
    <cellStyle name="Comma 2" xfId="2"/>
    <cellStyle name="Normal" xfId="0" builtinId="0"/>
    <cellStyle name="Normal 2" xfId="3"/>
    <cellStyle name="Percent" xfId="4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U190"/>
  <sheetViews>
    <sheetView tabSelected="1" zoomScale="120" zoomScaleNormal="120" workbookViewId="0">
      <pane xSplit="3" ySplit="7" topLeftCell="BK8" activePane="bottomRight" state="frozen"/>
      <selection pane="topRight" activeCell="D1" sqref="D1"/>
      <selection pane="bottomLeft" activeCell="A8" sqref="A8"/>
      <selection pane="bottomRight" activeCell="BT7" sqref="BT7"/>
    </sheetView>
  </sheetViews>
  <sheetFormatPr defaultRowHeight="15"/>
  <cols>
    <col min="1" max="1" width="8.5703125" style="136" customWidth="1"/>
    <col min="2" max="2" width="5.28515625" style="136" hidden="1" customWidth="1"/>
    <col min="3" max="3" width="13.7109375" style="136" customWidth="1"/>
    <col min="4" max="29" width="10.7109375" style="136" customWidth="1"/>
    <col min="30" max="30" width="12.140625" style="136" customWidth="1"/>
    <col min="31" max="31" width="19.28515625" style="136" customWidth="1"/>
    <col min="32" max="38" width="10.7109375" style="136" customWidth="1"/>
    <col min="39" max="39" width="11.42578125" style="136" customWidth="1"/>
    <col min="40" max="40" width="15.28515625" style="136" customWidth="1"/>
    <col min="41" max="41" width="10.7109375" style="136" customWidth="1"/>
    <col min="42" max="42" width="12" style="136" customWidth="1"/>
    <col min="43" max="57" width="10.7109375" style="136" customWidth="1"/>
    <col min="58" max="58" width="10.7109375" style="136" hidden="1" customWidth="1"/>
    <col min="59" max="59" width="10.7109375" style="136" customWidth="1"/>
    <col min="60" max="60" width="13" style="136" customWidth="1"/>
    <col min="61" max="70" width="10.7109375" style="136" customWidth="1"/>
    <col min="71" max="72" width="9.140625" style="136"/>
    <col min="73" max="125" width="12.7109375" style="4" customWidth="1"/>
    <col min="126" max="16384" width="9.140625" style="136"/>
  </cols>
  <sheetData>
    <row r="1" spans="1:125">
      <c r="A1" s="1" t="s">
        <v>94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1"/>
      <c r="N1" s="1"/>
      <c r="O1" s="1"/>
      <c r="P1" s="1"/>
      <c r="Q1" s="1"/>
      <c r="R1" s="2"/>
      <c r="S1" s="2"/>
      <c r="T1" s="1"/>
      <c r="U1" s="1"/>
      <c r="V1" s="1"/>
      <c r="W1" s="1"/>
      <c r="X1" s="1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2"/>
      <c r="AN1" s="2"/>
      <c r="AO1" s="2"/>
      <c r="AP1" s="1"/>
      <c r="AQ1" s="4"/>
      <c r="AR1" s="1"/>
      <c r="AS1" s="5"/>
      <c r="AT1" s="5"/>
      <c r="AU1" s="5"/>
      <c r="AV1" s="5"/>
      <c r="AW1" s="6"/>
      <c r="AX1" s="6"/>
      <c r="AY1" s="6"/>
      <c r="AZ1" s="6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</row>
    <row r="2" spans="1:125">
      <c r="A2" s="1" t="s">
        <v>67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1"/>
      <c r="N2" s="1"/>
      <c r="O2" s="1"/>
      <c r="P2" s="1"/>
      <c r="Q2" s="1"/>
      <c r="R2" s="2"/>
      <c r="S2" s="2"/>
      <c r="T2" s="1"/>
      <c r="U2" s="1"/>
      <c r="V2" s="1"/>
      <c r="W2" s="1"/>
      <c r="X2" s="1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2"/>
      <c r="AN2" s="2"/>
      <c r="AO2" s="2"/>
      <c r="AP2" s="1"/>
      <c r="AQ2" s="4"/>
      <c r="AR2" s="1"/>
      <c r="AS2" s="5"/>
      <c r="AT2" s="5"/>
      <c r="AU2" s="5"/>
      <c r="AV2" s="5"/>
      <c r="AW2" s="6"/>
      <c r="AX2" s="6"/>
      <c r="AY2" s="6"/>
      <c r="AZ2" s="6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</row>
    <row r="3" spans="1:125">
      <c r="A3" s="1" t="s">
        <v>0</v>
      </c>
      <c r="B3" s="1"/>
      <c r="C3" s="7"/>
      <c r="D3" s="7"/>
      <c r="E3" s="7"/>
      <c r="F3" s="7"/>
      <c r="G3" s="7"/>
      <c r="H3" s="7"/>
      <c r="I3" s="2"/>
      <c r="J3" s="2"/>
      <c r="K3" s="2"/>
      <c r="L3" s="2"/>
      <c r="M3" s="1"/>
      <c r="N3" s="1"/>
      <c r="O3" s="1"/>
      <c r="P3" s="1"/>
      <c r="Q3" s="1"/>
      <c r="R3" s="2"/>
      <c r="S3" s="2"/>
      <c r="T3" s="1"/>
      <c r="U3" s="1"/>
      <c r="V3" s="1"/>
      <c r="W3" s="1"/>
      <c r="X3" s="1"/>
      <c r="Y3" s="2"/>
      <c r="Z3" s="2"/>
      <c r="AA3" s="2"/>
      <c r="AB3" s="8"/>
      <c r="AC3" s="2"/>
      <c r="AD3" s="2"/>
      <c r="AE3" s="2"/>
      <c r="AF3" s="2"/>
      <c r="AG3" s="2"/>
      <c r="AH3" s="2"/>
      <c r="AI3" s="2"/>
      <c r="AJ3" s="7"/>
      <c r="AK3" s="1"/>
      <c r="AL3" s="1"/>
      <c r="AM3" s="2"/>
      <c r="AN3" s="2"/>
      <c r="AO3" s="2"/>
      <c r="AP3" s="1"/>
      <c r="AQ3" s="4"/>
      <c r="AR3" s="1"/>
      <c r="AS3" s="5"/>
      <c r="AT3" s="5"/>
      <c r="AU3" s="5"/>
      <c r="AV3" s="5"/>
      <c r="AW3" s="6"/>
      <c r="AX3" s="6"/>
      <c r="AY3" s="6"/>
      <c r="AZ3" s="6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1:125" ht="23.25">
      <c r="A4" s="9" t="s">
        <v>155</v>
      </c>
      <c r="B4" s="1"/>
      <c r="C4" s="7"/>
      <c r="D4" s="7"/>
      <c r="E4" s="7"/>
      <c r="F4" s="7"/>
      <c r="G4" s="7"/>
      <c r="H4" s="7"/>
      <c r="I4" s="7"/>
      <c r="J4" s="2"/>
      <c r="K4" s="7"/>
      <c r="L4" s="2"/>
      <c r="M4" s="1"/>
      <c r="N4" s="1"/>
      <c r="O4" s="1"/>
      <c r="P4" s="1"/>
      <c r="Q4" s="1"/>
      <c r="R4" s="2"/>
      <c r="S4" s="2"/>
      <c r="T4" s="1"/>
      <c r="U4" s="1"/>
      <c r="V4" s="1"/>
      <c r="W4" s="1"/>
      <c r="X4" s="1"/>
      <c r="Y4" s="2"/>
      <c r="Z4" s="7"/>
      <c r="AA4" s="2"/>
      <c r="AB4" s="7"/>
      <c r="AC4" s="1"/>
      <c r="AD4" s="1"/>
      <c r="AE4" s="2"/>
      <c r="AF4" s="2"/>
      <c r="AG4" s="2"/>
      <c r="AH4" s="2"/>
      <c r="AI4" s="2"/>
      <c r="AJ4" s="7"/>
      <c r="AK4" s="1"/>
      <c r="AL4" s="3"/>
      <c r="AM4" s="4"/>
      <c r="AN4" s="4"/>
      <c r="AO4" s="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CT4" s="144"/>
      <c r="CU4" s="144"/>
      <c r="CV4" s="144"/>
      <c r="CW4" s="144"/>
      <c r="CX4" s="144"/>
      <c r="CY4" s="144"/>
      <c r="CZ4" s="144"/>
      <c r="DA4" s="144"/>
      <c r="DB4" s="144"/>
      <c r="DC4" s="144"/>
      <c r="DD4" s="144"/>
      <c r="DE4" s="144" t="s">
        <v>34</v>
      </c>
      <c r="DF4" s="144"/>
      <c r="DG4" s="144" t="s">
        <v>25</v>
      </c>
      <c r="DH4" s="144" t="s">
        <v>35</v>
      </c>
      <c r="DI4" s="144"/>
      <c r="DJ4" s="144"/>
      <c r="DK4" s="144"/>
      <c r="DL4" s="144"/>
      <c r="DM4" s="144"/>
      <c r="DN4" s="144"/>
      <c r="DO4" s="144"/>
      <c r="DP4" s="144"/>
      <c r="DQ4" s="144"/>
      <c r="DR4" s="144"/>
      <c r="DS4" s="144"/>
      <c r="DT4" s="144"/>
      <c r="DU4" s="144" t="s">
        <v>36</v>
      </c>
    </row>
    <row r="5" spans="1:125" ht="24" thickBot="1">
      <c r="A5" s="4"/>
      <c r="B5" s="4"/>
      <c r="C5" s="10"/>
      <c r="D5" s="10"/>
      <c r="E5" s="10"/>
      <c r="F5" s="10"/>
      <c r="G5" s="10"/>
      <c r="H5" s="10"/>
      <c r="I5" s="10"/>
      <c r="J5" s="10"/>
      <c r="K5" s="10"/>
      <c r="L5" s="10"/>
      <c r="M5" s="11">
        <v>2.1499999999999998E-2</v>
      </c>
      <c r="N5" s="12">
        <v>5.0000000000000001E-3</v>
      </c>
      <c r="O5" s="13"/>
      <c r="P5" s="14"/>
      <c r="Q5" s="14"/>
      <c r="R5" s="10"/>
      <c r="S5" s="10"/>
      <c r="T5" s="11">
        <v>2.2499999999999999E-2</v>
      </c>
      <c r="U5" s="12">
        <v>5.0000000000000001E-3</v>
      </c>
      <c r="V5" s="14"/>
      <c r="W5" s="14"/>
      <c r="X5" s="14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4"/>
      <c r="AL5" s="4"/>
      <c r="AM5" s="10"/>
      <c r="AN5" s="10"/>
      <c r="AO5" s="10"/>
      <c r="AP5" s="4"/>
      <c r="AQ5" s="4"/>
      <c r="AR5" s="4"/>
      <c r="AS5" s="15"/>
      <c r="AT5" s="15"/>
      <c r="AU5" s="15"/>
      <c r="AV5" s="15"/>
      <c r="AW5" s="16"/>
      <c r="AX5" s="16"/>
      <c r="AY5" s="16"/>
      <c r="AZ5" s="16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143">
        <v>0.5</v>
      </c>
      <c r="BO5" s="4"/>
      <c r="BP5" s="4"/>
      <c r="BQ5" s="4"/>
      <c r="BR5" s="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  <c r="CT5" s="144"/>
      <c r="CU5" s="144"/>
      <c r="CV5" s="144"/>
      <c r="CW5" s="144"/>
      <c r="CX5" s="144"/>
      <c r="CY5" s="144"/>
      <c r="CZ5" s="144"/>
      <c r="DA5" s="144"/>
      <c r="DB5" s="144"/>
      <c r="DC5" s="144"/>
      <c r="DD5" s="144" t="s">
        <v>41</v>
      </c>
      <c r="DE5" s="144"/>
      <c r="DF5" s="144" t="s">
        <v>42</v>
      </c>
      <c r="DG5" s="144"/>
      <c r="DH5" s="144"/>
      <c r="DI5" s="144"/>
      <c r="DJ5" s="144"/>
      <c r="DK5" s="144"/>
      <c r="DL5" s="144"/>
      <c r="DM5" s="144"/>
      <c r="DN5" s="144"/>
      <c r="DO5" s="144"/>
      <c r="DP5" s="144"/>
      <c r="DQ5" s="144"/>
      <c r="DR5" s="144"/>
      <c r="DS5" s="144"/>
      <c r="DT5" s="144"/>
      <c r="DU5" s="144"/>
    </row>
    <row r="6" spans="1:125" ht="16.5" customHeight="1" thickTop="1" thickBot="1">
      <c r="A6" s="202" t="s">
        <v>2</v>
      </c>
      <c r="B6" s="175" t="s">
        <v>3</v>
      </c>
      <c r="C6" s="183" t="s">
        <v>4</v>
      </c>
      <c r="D6" s="179" t="s">
        <v>5</v>
      </c>
      <c r="E6" s="179" t="s">
        <v>6</v>
      </c>
      <c r="F6" s="179" t="s">
        <v>7</v>
      </c>
      <c r="G6" s="183" t="s">
        <v>8</v>
      </c>
      <c r="H6" s="183" t="s">
        <v>9</v>
      </c>
      <c r="I6" s="179" t="s">
        <v>10</v>
      </c>
      <c r="J6" s="179" t="s">
        <v>11</v>
      </c>
      <c r="K6" s="179" t="s">
        <v>12</v>
      </c>
      <c r="L6" s="179" t="s">
        <v>13</v>
      </c>
      <c r="M6" s="175" t="s">
        <v>14</v>
      </c>
      <c r="N6" s="175" t="s">
        <v>15</v>
      </c>
      <c r="O6" s="175" t="s">
        <v>16</v>
      </c>
      <c r="P6" s="175" t="s">
        <v>17</v>
      </c>
      <c r="Q6" s="179" t="s">
        <v>46</v>
      </c>
      <c r="R6" s="179" t="s">
        <v>18</v>
      </c>
      <c r="S6" s="179" t="s">
        <v>19</v>
      </c>
      <c r="T6" s="175" t="s">
        <v>20</v>
      </c>
      <c r="U6" s="175" t="s">
        <v>21</v>
      </c>
      <c r="V6" s="175" t="s">
        <v>22</v>
      </c>
      <c r="W6" s="175" t="s">
        <v>47</v>
      </c>
      <c r="X6" s="179" t="s">
        <v>46</v>
      </c>
      <c r="Y6" s="64"/>
      <c r="Z6" s="179" t="s">
        <v>23</v>
      </c>
      <c r="AA6" s="188" t="s">
        <v>24</v>
      </c>
      <c r="AB6" s="179" t="s">
        <v>25</v>
      </c>
      <c r="AC6" s="179" t="s">
        <v>26</v>
      </c>
      <c r="AD6" s="194" t="s">
        <v>95</v>
      </c>
      <c r="AE6" s="195"/>
      <c r="AF6" s="182" t="s">
        <v>28</v>
      </c>
      <c r="AG6" s="190" t="s">
        <v>29</v>
      </c>
      <c r="AH6" s="191"/>
      <c r="AI6" s="183" t="s">
        <v>30</v>
      </c>
      <c r="AJ6" s="64"/>
      <c r="AK6" s="183" t="s">
        <v>31</v>
      </c>
      <c r="AL6" s="183" t="s">
        <v>32</v>
      </c>
      <c r="AM6" s="186" t="s">
        <v>33</v>
      </c>
      <c r="AN6" s="192" t="s">
        <v>103</v>
      </c>
      <c r="AO6" s="17"/>
      <c r="AP6" s="177" t="s">
        <v>63</v>
      </c>
      <c r="AQ6" s="177" t="s">
        <v>64</v>
      </c>
      <c r="AR6" s="177" t="s">
        <v>111</v>
      </c>
      <c r="AS6" s="177" t="s">
        <v>65</v>
      </c>
      <c r="AT6" s="177" t="s">
        <v>98</v>
      </c>
      <c r="AU6" s="177" t="s">
        <v>119</v>
      </c>
      <c r="AV6" s="177" t="s">
        <v>113</v>
      </c>
      <c r="AW6" s="177" t="s">
        <v>114</v>
      </c>
      <c r="AX6" s="177" t="s">
        <v>115</v>
      </c>
      <c r="AY6" s="66"/>
      <c r="AZ6" s="68"/>
      <c r="BA6" s="197" t="s">
        <v>34</v>
      </c>
      <c r="BB6" s="70"/>
      <c r="BC6" s="183" t="s">
        <v>25</v>
      </c>
      <c r="BD6" s="183" t="s">
        <v>35</v>
      </c>
      <c r="BE6" s="177" t="s">
        <v>153</v>
      </c>
      <c r="BF6" s="177" t="s">
        <v>143</v>
      </c>
      <c r="BG6" s="177" t="s">
        <v>112</v>
      </c>
      <c r="BH6" s="177" t="s">
        <v>146</v>
      </c>
      <c r="BI6" s="177" t="s">
        <v>150</v>
      </c>
      <c r="BJ6" s="177" t="s">
        <v>151</v>
      </c>
      <c r="BK6" s="177" t="s">
        <v>152</v>
      </c>
      <c r="BL6" s="177" t="s">
        <v>145</v>
      </c>
      <c r="BM6" s="177" t="s">
        <v>116</v>
      </c>
      <c r="BN6" s="177" t="s">
        <v>118</v>
      </c>
      <c r="BO6" s="18"/>
      <c r="BP6" s="18"/>
      <c r="BQ6" s="18"/>
      <c r="BR6" s="190" t="s">
        <v>36</v>
      </c>
    </row>
    <row r="7" spans="1:125" ht="35.25" thickTop="1" thickBot="1">
      <c r="A7" s="203"/>
      <c r="B7" s="176"/>
      <c r="C7" s="185"/>
      <c r="D7" s="181"/>
      <c r="E7" s="181"/>
      <c r="F7" s="180"/>
      <c r="G7" s="185"/>
      <c r="H7" s="185"/>
      <c r="I7" s="180"/>
      <c r="J7" s="180"/>
      <c r="K7" s="181"/>
      <c r="L7" s="180"/>
      <c r="M7" s="176"/>
      <c r="N7" s="176"/>
      <c r="O7" s="176"/>
      <c r="P7" s="176"/>
      <c r="Q7" s="180"/>
      <c r="R7" s="181"/>
      <c r="S7" s="180"/>
      <c r="T7" s="176"/>
      <c r="U7" s="176"/>
      <c r="V7" s="176"/>
      <c r="W7" s="176"/>
      <c r="X7" s="180"/>
      <c r="Y7" s="19" t="s">
        <v>37</v>
      </c>
      <c r="Z7" s="181"/>
      <c r="AA7" s="189"/>
      <c r="AB7" s="181"/>
      <c r="AC7" s="181"/>
      <c r="AD7" s="118" t="s">
        <v>96</v>
      </c>
      <c r="AE7" s="119" t="s">
        <v>97</v>
      </c>
      <c r="AF7" s="181"/>
      <c r="AG7" s="20" t="s">
        <v>38</v>
      </c>
      <c r="AH7" s="20" t="s">
        <v>39</v>
      </c>
      <c r="AI7" s="184"/>
      <c r="AJ7" s="65" t="s">
        <v>40</v>
      </c>
      <c r="AK7" s="185"/>
      <c r="AL7" s="185"/>
      <c r="AM7" s="187"/>
      <c r="AN7" s="193"/>
      <c r="AO7" s="21" t="s">
        <v>66</v>
      </c>
      <c r="AP7" s="178"/>
      <c r="AQ7" s="178"/>
      <c r="AR7" s="178"/>
      <c r="AS7" s="178"/>
      <c r="AT7" s="178"/>
      <c r="AU7" s="178"/>
      <c r="AV7" s="178"/>
      <c r="AW7" s="178"/>
      <c r="AX7" s="178"/>
      <c r="AY7" s="67"/>
      <c r="AZ7" s="69" t="s">
        <v>41</v>
      </c>
      <c r="BA7" s="198"/>
      <c r="BB7" s="71" t="s">
        <v>42</v>
      </c>
      <c r="BC7" s="184"/>
      <c r="BD7" s="184"/>
      <c r="BE7" s="178"/>
      <c r="BF7" s="178"/>
      <c r="BG7" s="178"/>
      <c r="BH7" s="178"/>
      <c r="BI7" s="178"/>
      <c r="BJ7" s="178"/>
      <c r="BK7" s="178"/>
      <c r="BL7" s="178"/>
      <c r="BM7" s="178"/>
      <c r="BN7" s="178"/>
      <c r="BO7" s="22"/>
      <c r="BP7" s="22"/>
      <c r="BQ7" s="22"/>
      <c r="BR7" s="196"/>
      <c r="BU7" s="4" t="s">
        <v>58</v>
      </c>
      <c r="BV7" s="4" t="s">
        <v>59</v>
      </c>
      <c r="BW7" s="4" t="s">
        <v>60</v>
      </c>
      <c r="BX7" s="4" t="s">
        <v>61</v>
      </c>
      <c r="BY7" s="4" t="s">
        <v>36</v>
      </c>
    </row>
    <row r="8" spans="1:125" ht="15.75" thickTop="1">
      <c r="A8" s="23"/>
      <c r="B8" s="24"/>
      <c r="C8" s="25"/>
      <c r="D8" s="26"/>
      <c r="E8" s="26"/>
      <c r="F8" s="26"/>
      <c r="G8" s="25"/>
      <c r="H8" s="25"/>
      <c r="I8" s="26"/>
      <c r="J8" s="26"/>
      <c r="K8" s="26"/>
      <c r="L8" s="26"/>
      <c r="M8" s="24"/>
      <c r="N8" s="24"/>
      <c r="O8" s="24"/>
      <c r="P8" s="24"/>
      <c r="Q8" s="27"/>
      <c r="R8" s="26"/>
      <c r="S8" s="26"/>
      <c r="T8" s="24"/>
      <c r="U8" s="24"/>
      <c r="V8" s="24"/>
      <c r="W8" s="24"/>
      <c r="X8" s="27"/>
      <c r="Y8" s="26"/>
      <c r="Z8" s="26"/>
      <c r="AA8" s="26"/>
      <c r="AB8" s="26"/>
      <c r="AC8" s="34"/>
      <c r="AD8" s="28"/>
      <c r="AE8" s="28"/>
      <c r="AF8" s="26"/>
      <c r="AG8" s="25"/>
      <c r="AH8" s="25"/>
      <c r="AI8" s="25"/>
      <c r="AJ8" s="26"/>
      <c r="AK8" s="25"/>
      <c r="AL8" s="25"/>
      <c r="AM8" s="25"/>
      <c r="AN8" s="25"/>
      <c r="AO8" s="29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25"/>
      <c r="BA8" s="28"/>
      <c r="BB8" s="28"/>
      <c r="BC8" s="25"/>
      <c r="BD8" s="25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31"/>
    </row>
    <row r="9" spans="1:125">
      <c r="A9" s="199">
        <v>43160</v>
      </c>
      <c r="B9" s="32" t="s">
        <v>43</v>
      </c>
      <c r="C9" s="33" t="s">
        <v>154</v>
      </c>
      <c r="D9" s="34"/>
      <c r="E9" s="34"/>
      <c r="F9" s="35"/>
      <c r="G9" s="33">
        <f>IF(E9-D9&lt;0,E9-D9,0)*-1</f>
        <v>0</v>
      </c>
      <c r="H9" s="33">
        <f>IF(E9-D9&gt;0,E9-D9,0)</f>
        <v>0</v>
      </c>
      <c r="I9" s="34"/>
      <c r="J9" s="34"/>
      <c r="K9" s="34"/>
      <c r="L9" s="34"/>
      <c r="M9" s="36">
        <f>(+K9)*M$5</f>
        <v>0</v>
      </c>
      <c r="N9" s="36">
        <f>(+K9)*N$5</f>
        <v>0</v>
      </c>
      <c r="O9" s="36">
        <f>+K9-M9-N9+P9</f>
        <v>0</v>
      </c>
      <c r="P9" s="36">
        <f>L9-(L9*(M$5+N$5))</f>
        <v>0</v>
      </c>
      <c r="Q9" s="37"/>
      <c r="R9" s="34"/>
      <c r="S9" s="34"/>
      <c r="T9" s="36">
        <f>+R9*T$5</f>
        <v>0</v>
      </c>
      <c r="U9" s="36">
        <f>+R9*U$5</f>
        <v>0</v>
      </c>
      <c r="V9" s="36">
        <f>+R9-T9-U9+W9</f>
        <v>0</v>
      </c>
      <c r="W9" s="36">
        <f>+S9-(S9*(T$5+U$5))</f>
        <v>0</v>
      </c>
      <c r="X9" s="37"/>
      <c r="Y9" s="34"/>
      <c r="Z9" s="34"/>
      <c r="AA9" s="34"/>
      <c r="AB9" s="34"/>
      <c r="AC9" s="34"/>
      <c r="AD9" s="38"/>
      <c r="AE9" s="38"/>
      <c r="AF9" s="34"/>
      <c r="AG9" s="33">
        <f>(AF9*0.8)*0.85</f>
        <v>0</v>
      </c>
      <c r="AH9" s="33">
        <f>(AF9*0.8)*0.15</f>
        <v>0</v>
      </c>
      <c r="AI9" s="33">
        <f>AF9*0.2</f>
        <v>0</v>
      </c>
      <c r="AJ9" s="34"/>
      <c r="AK9" s="33">
        <v>0</v>
      </c>
      <c r="AL9" s="33">
        <f t="shared" ref="AL9:AL10" si="0">AK9-SUM(Y9:AC9)</f>
        <v>0</v>
      </c>
      <c r="AM9" s="33">
        <f t="shared" ref="AM9:AM10" si="1">+AL9*0.12</f>
        <v>0</v>
      </c>
      <c r="AN9" s="33">
        <f t="shared" ref="AN9:AN10" si="2">+AM9+AL9+AJ9</f>
        <v>0</v>
      </c>
      <c r="AO9" s="39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33">
        <f>SUM(AO9:AY9)</f>
        <v>0</v>
      </c>
      <c r="BA9" s="38"/>
      <c r="BB9" s="38"/>
      <c r="BC9" s="33">
        <f>SUM(BE9:BM9)*0.1+(BN9*0.5)</f>
        <v>0</v>
      </c>
      <c r="BD9" s="33">
        <f>SUM(BE9:BM9)+(BN9*0.5)</f>
        <v>0</v>
      </c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41">
        <f>AZ9+BA9+BB9+BD9-BC9</f>
        <v>0</v>
      </c>
    </row>
    <row r="10" spans="1:125" ht="15.75" thickBot="1">
      <c r="A10" s="201"/>
      <c r="B10" s="15" t="s">
        <v>44</v>
      </c>
      <c r="C10" s="33"/>
      <c r="D10" s="34"/>
      <c r="E10" s="34"/>
      <c r="F10" s="35"/>
      <c r="G10" s="33">
        <f>IF(E10-D10&lt;0,E10-D10,0)*-1</f>
        <v>0</v>
      </c>
      <c r="H10" s="33">
        <f>IF(E10-D10&gt;0,E10-D10,0)</f>
        <v>0</v>
      </c>
      <c r="I10" s="34"/>
      <c r="J10" s="34"/>
      <c r="K10" s="34"/>
      <c r="L10" s="34"/>
      <c r="M10" s="36">
        <f>(+K10)*M$5</f>
        <v>0</v>
      </c>
      <c r="N10" s="36">
        <f>(+K10)*N$5</f>
        <v>0</v>
      </c>
      <c r="O10" s="36">
        <f>+K10-M10-N10+P10</f>
        <v>0</v>
      </c>
      <c r="P10" s="36">
        <f>L10-(L10*(M$5+N$5))</f>
        <v>0</v>
      </c>
      <c r="Q10" s="37"/>
      <c r="R10" s="34"/>
      <c r="S10" s="34"/>
      <c r="T10" s="36">
        <f>+R10*T$5</f>
        <v>0</v>
      </c>
      <c r="U10" s="36">
        <f>+R10*U$5</f>
        <v>0</v>
      </c>
      <c r="V10" s="36">
        <f>+R10-T10-U10+W10</f>
        <v>0</v>
      </c>
      <c r="W10" s="36">
        <f>+S10-(S10*(T$5+U$5))</f>
        <v>0</v>
      </c>
      <c r="X10" s="37"/>
      <c r="Y10" s="34"/>
      <c r="Z10" s="34"/>
      <c r="AA10" s="34"/>
      <c r="AB10" s="34"/>
      <c r="AC10" s="34"/>
      <c r="AD10" s="38"/>
      <c r="AE10" s="38"/>
      <c r="AF10" s="34"/>
      <c r="AG10" s="33">
        <f>(AF10*0.8)*0.85</f>
        <v>0</v>
      </c>
      <c r="AH10" s="33">
        <f>(AF10*0.8)*0.15</f>
        <v>0</v>
      </c>
      <c r="AI10" s="33">
        <f>AF10*0.2</f>
        <v>0</v>
      </c>
      <c r="AJ10" s="34"/>
      <c r="AK10" s="33">
        <f t="shared" ref="AK10" si="3">(C10-AF10-AJ10)/1.12</f>
        <v>0</v>
      </c>
      <c r="AL10" s="33">
        <f t="shared" si="0"/>
        <v>0</v>
      </c>
      <c r="AM10" s="33">
        <f t="shared" si="1"/>
        <v>0</v>
      </c>
      <c r="AN10" s="33">
        <f t="shared" si="2"/>
        <v>0</v>
      </c>
      <c r="AO10" s="39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33">
        <f>SUM(AO10:AY10)</f>
        <v>0</v>
      </c>
      <c r="BA10" s="38"/>
      <c r="BB10" s="38"/>
      <c r="BC10" s="33">
        <v>0</v>
      </c>
      <c r="BD10" s="33">
        <f>SUM(BE10:BM10)+(BN10*0.5)</f>
        <v>0</v>
      </c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41">
        <f>AZ10+BA10+BB10+BD10-BC10</f>
        <v>0</v>
      </c>
    </row>
    <row r="11" spans="1:125" s="166" customFormat="1" ht="15.75" thickBot="1">
      <c r="A11" s="160"/>
      <c r="B11" s="43"/>
      <c r="C11" s="44">
        <f>SUBTOTAL(9,C9:C10)</f>
        <v>0</v>
      </c>
      <c r="D11" s="45">
        <f>SUBTOTAL(9,D9:D10)</f>
        <v>0</v>
      </c>
      <c r="E11" s="45">
        <f>SUBTOTAL(9,E9:E10)</f>
        <v>0</v>
      </c>
      <c r="F11" s="45"/>
      <c r="G11" s="45">
        <f t="shared" ref="G11:P11" si="4">SUBTOTAL(9,G9:G10)</f>
        <v>0</v>
      </c>
      <c r="H11" s="45">
        <f t="shared" si="4"/>
        <v>0</v>
      </c>
      <c r="I11" s="45">
        <f t="shared" si="4"/>
        <v>0</v>
      </c>
      <c r="J11" s="45">
        <f t="shared" si="4"/>
        <v>0</v>
      </c>
      <c r="K11" s="162">
        <f t="shared" si="4"/>
        <v>0</v>
      </c>
      <c r="L11" s="45">
        <f t="shared" si="4"/>
        <v>0</v>
      </c>
      <c r="M11" s="46">
        <f t="shared" si="4"/>
        <v>0</v>
      </c>
      <c r="N11" s="46">
        <f t="shared" si="4"/>
        <v>0</v>
      </c>
      <c r="O11" s="46">
        <f t="shared" si="4"/>
        <v>0</v>
      </c>
      <c r="P11" s="46">
        <f t="shared" si="4"/>
        <v>0</v>
      </c>
      <c r="Q11" s="47"/>
      <c r="R11" s="45">
        <f t="shared" ref="R11:BQ11" si="5">SUBTOTAL(9,R9:R10)</f>
        <v>0</v>
      </c>
      <c r="S11" s="45">
        <f t="shared" si="5"/>
        <v>0</v>
      </c>
      <c r="T11" s="46">
        <f t="shared" si="5"/>
        <v>0</v>
      </c>
      <c r="U11" s="46">
        <f t="shared" si="5"/>
        <v>0</v>
      </c>
      <c r="V11" s="46">
        <f t="shared" si="5"/>
        <v>0</v>
      </c>
      <c r="W11" s="46">
        <f t="shared" si="5"/>
        <v>0</v>
      </c>
      <c r="X11" s="47"/>
      <c r="Y11" s="45">
        <f>SUBTOTAL(9,Y9:Y10)</f>
        <v>0</v>
      </c>
      <c r="Z11" s="45"/>
      <c r="AA11" s="45"/>
      <c r="AB11" s="45"/>
      <c r="AC11" s="165"/>
      <c r="AD11" s="48"/>
      <c r="AE11" s="48"/>
      <c r="AF11" s="45"/>
      <c r="AG11" s="44">
        <f t="shared" si="5"/>
        <v>0</v>
      </c>
      <c r="AH11" s="44">
        <f t="shared" si="5"/>
        <v>0</v>
      </c>
      <c r="AI11" s="44">
        <f t="shared" si="5"/>
        <v>0</v>
      </c>
      <c r="AJ11" s="45">
        <f t="shared" si="5"/>
        <v>0</v>
      </c>
      <c r="AK11" s="44">
        <f t="shared" si="5"/>
        <v>0</v>
      </c>
      <c r="AL11" s="44">
        <f t="shared" si="5"/>
        <v>0</v>
      </c>
      <c r="AM11" s="44">
        <f t="shared" si="5"/>
        <v>0</v>
      </c>
      <c r="AN11" s="44">
        <f>+AN10+AN9</f>
        <v>0</v>
      </c>
      <c r="AO11" s="49">
        <f t="shared" si="5"/>
        <v>0</v>
      </c>
      <c r="AP11" s="49">
        <f t="shared" si="5"/>
        <v>0</v>
      </c>
      <c r="AQ11" s="49">
        <f t="shared" si="5"/>
        <v>0</v>
      </c>
      <c r="AR11" s="49">
        <f t="shared" si="5"/>
        <v>0</v>
      </c>
      <c r="AS11" s="49">
        <f t="shared" si="5"/>
        <v>0</v>
      </c>
      <c r="AT11" s="49">
        <f t="shared" si="5"/>
        <v>0</v>
      </c>
      <c r="AU11" s="49">
        <f>SUBTOTAL(9,AU9:AU10)</f>
        <v>0</v>
      </c>
      <c r="AV11" s="49">
        <f t="shared" si="5"/>
        <v>0</v>
      </c>
      <c r="AW11" s="49">
        <f t="shared" si="5"/>
        <v>0</v>
      </c>
      <c r="AX11" s="49">
        <f t="shared" si="5"/>
        <v>0</v>
      </c>
      <c r="AY11" s="49">
        <f t="shared" si="5"/>
        <v>0</v>
      </c>
      <c r="AZ11" s="44">
        <f t="shared" si="5"/>
        <v>0</v>
      </c>
      <c r="BA11" s="48">
        <f t="shared" si="5"/>
        <v>0</v>
      </c>
      <c r="BB11" s="48">
        <f t="shared" si="5"/>
        <v>0</v>
      </c>
      <c r="BC11" s="44">
        <f t="shared" si="5"/>
        <v>0</v>
      </c>
      <c r="BD11" s="44">
        <f t="shared" si="5"/>
        <v>0</v>
      </c>
      <c r="BE11" s="49">
        <f t="shared" si="5"/>
        <v>0</v>
      </c>
      <c r="BF11" s="49">
        <f>SUBTOTAL(9,BF9:BF10)</f>
        <v>0</v>
      </c>
      <c r="BG11" s="49">
        <f t="shared" si="5"/>
        <v>0</v>
      </c>
      <c r="BH11" s="49">
        <f t="shared" si="5"/>
        <v>0</v>
      </c>
      <c r="BI11" s="49">
        <f t="shared" si="5"/>
        <v>0</v>
      </c>
      <c r="BJ11" s="49">
        <f t="shared" si="5"/>
        <v>0</v>
      </c>
      <c r="BK11" s="49">
        <f t="shared" si="5"/>
        <v>0</v>
      </c>
      <c r="BL11" s="49">
        <f t="shared" si="5"/>
        <v>0</v>
      </c>
      <c r="BM11" s="49">
        <f t="shared" si="5"/>
        <v>0</v>
      </c>
      <c r="BN11" s="49">
        <f t="shared" si="5"/>
        <v>0</v>
      </c>
      <c r="BO11" s="49">
        <f t="shared" si="5"/>
        <v>0</v>
      </c>
      <c r="BP11" s="49">
        <f t="shared" si="5"/>
        <v>0</v>
      </c>
      <c r="BQ11" s="49">
        <f t="shared" si="5"/>
        <v>0</v>
      </c>
      <c r="BR11" s="44">
        <f>SUBTOTAL(9,BR9:BR10)</f>
        <v>0</v>
      </c>
      <c r="BU11" s="167"/>
      <c r="BV11" s="167"/>
      <c r="BW11" s="167"/>
      <c r="BX11" s="167"/>
      <c r="BY11" s="167"/>
      <c r="BZ11" s="167"/>
      <c r="CA11" s="167"/>
      <c r="CB11" s="167"/>
      <c r="CC11" s="167"/>
      <c r="CD11" s="167"/>
      <c r="CE11" s="167"/>
      <c r="CF11" s="167"/>
      <c r="CG11" s="167"/>
      <c r="CH11" s="167"/>
      <c r="CI11" s="167"/>
      <c r="CJ11" s="167"/>
      <c r="CK11" s="167"/>
      <c r="CL11" s="167"/>
      <c r="CM11" s="167"/>
      <c r="CN11" s="167"/>
      <c r="CO11" s="167"/>
      <c r="CP11" s="167"/>
      <c r="CQ11" s="167"/>
      <c r="CR11" s="167"/>
      <c r="CS11" s="167"/>
      <c r="CT11" s="167"/>
      <c r="CU11" s="168"/>
      <c r="CV11" s="167"/>
      <c r="CW11" s="167"/>
      <c r="CX11" s="167"/>
      <c r="CY11" s="167"/>
      <c r="CZ11" s="167"/>
      <c r="DA11" s="167"/>
      <c r="DB11" s="167"/>
      <c r="DC11" s="167"/>
      <c r="DD11" s="167"/>
      <c r="DE11" s="167"/>
      <c r="DF11" s="167"/>
      <c r="DG11" s="167"/>
      <c r="DH11" s="167"/>
      <c r="DI11" s="167"/>
      <c r="DJ11" s="167"/>
      <c r="DK11" s="167"/>
      <c r="DL11" s="167"/>
      <c r="DM11" s="167"/>
      <c r="DN11" s="167"/>
      <c r="DO11" s="167"/>
      <c r="DP11" s="167"/>
      <c r="DQ11" s="167"/>
      <c r="DR11" s="167"/>
      <c r="DS11" s="167"/>
      <c r="DT11" s="167"/>
      <c r="DU11" s="167"/>
    </row>
    <row r="12" spans="1:125">
      <c r="A12" s="199">
        <f>A9+1</f>
        <v>43161</v>
      </c>
      <c r="B12" s="32" t="s">
        <v>43</v>
      </c>
      <c r="C12" s="33">
        <v>12863.1</v>
      </c>
      <c r="D12" s="34">
        <v>10661.12</v>
      </c>
      <c r="E12" s="34">
        <v>10667</v>
      </c>
      <c r="F12" s="35">
        <v>43192</v>
      </c>
      <c r="G12" s="33">
        <f>IF(E12-D12&lt;0,E12-D12,0)*-1</f>
        <v>0</v>
      </c>
      <c r="H12" s="33">
        <f>IF(E12-D12&gt;0,E12-D12,0)</f>
        <v>5.8799999999991996</v>
      </c>
      <c r="I12" s="34"/>
      <c r="J12" s="34"/>
      <c r="K12" s="34">
        <v>2053.3000000000002</v>
      </c>
      <c r="L12" s="34"/>
      <c r="M12" s="36">
        <f>(+K12)*M$5</f>
        <v>44.145949999999999</v>
      </c>
      <c r="N12" s="36">
        <f>(+K12)*N$5</f>
        <v>10.266500000000001</v>
      </c>
      <c r="O12" s="36">
        <f>+K12-M12-N12+P12</f>
        <v>1998.8875500000001</v>
      </c>
      <c r="P12" s="36"/>
      <c r="Q12" s="37"/>
      <c r="R12" s="34"/>
      <c r="S12" s="34"/>
      <c r="T12" s="36"/>
      <c r="U12" s="36"/>
      <c r="V12" s="36"/>
      <c r="W12" s="36"/>
      <c r="X12" s="37"/>
      <c r="Y12" s="34"/>
      <c r="Z12" s="34">
        <v>27.25</v>
      </c>
      <c r="AA12" s="34"/>
      <c r="AB12" s="34"/>
      <c r="AC12" s="34">
        <v>121.43</v>
      </c>
      <c r="AD12" s="38"/>
      <c r="AE12" s="38"/>
      <c r="AF12" s="34">
        <v>930.96</v>
      </c>
      <c r="AG12" s="33">
        <f>(AF12*0.8)*0.85</f>
        <v>633.05280000000005</v>
      </c>
      <c r="AH12" s="33">
        <f>(AF12*0.8)*0.15</f>
        <v>111.7152</v>
      </c>
      <c r="AI12" s="33">
        <f>AF12*0.2</f>
        <v>186.19200000000001</v>
      </c>
      <c r="AJ12" s="34"/>
      <c r="AK12" s="33">
        <f>(C12-AF12-AJ12)/1.12</f>
        <v>10653.696428571428</v>
      </c>
      <c r="AL12" s="33">
        <f>AK12-SUM(Y12:AC12)</f>
        <v>10505.016428571427</v>
      </c>
      <c r="AM12" s="33">
        <f>+AL12*0.12</f>
        <v>1260.6019714285712</v>
      </c>
      <c r="AN12" s="33">
        <f>+AM12+AL12+AJ12</f>
        <v>11765.618399999999</v>
      </c>
      <c r="AO12" s="39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33">
        <f>SUM(AO12:AY12)</f>
        <v>0</v>
      </c>
      <c r="BA12" s="38"/>
      <c r="BB12" s="38"/>
      <c r="BC12" s="33">
        <f>SUM(BE12:BM12)*0.1+(BN12*0.5)</f>
        <v>0</v>
      </c>
      <c r="BD12" s="33">
        <f>SUM(BE12:BM12)+(BN12*0.5)</f>
        <v>0</v>
      </c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41">
        <f>AZ12+BA12+BB12+BD12-BC12</f>
        <v>0</v>
      </c>
      <c r="BT12" s="146"/>
      <c r="BU12" s="145"/>
      <c r="BV12" s="145"/>
      <c r="BW12" s="145"/>
      <c r="BX12" s="145"/>
      <c r="BY12" s="145"/>
      <c r="BZ12" s="145"/>
      <c r="CA12" s="145"/>
      <c r="CB12" s="145"/>
      <c r="CC12" s="145"/>
      <c r="CD12" s="145"/>
      <c r="CE12" s="145"/>
      <c r="CF12" s="145"/>
      <c r="CG12" s="145"/>
      <c r="CH12" s="145"/>
      <c r="CI12" s="145"/>
      <c r="CJ12" s="145"/>
      <c r="CK12" s="145"/>
      <c r="CL12" s="145"/>
      <c r="CM12" s="145"/>
      <c r="CN12" s="145"/>
      <c r="CO12" s="145"/>
      <c r="CP12" s="145"/>
      <c r="CQ12" s="145"/>
      <c r="CR12" s="145"/>
      <c r="CS12" s="145"/>
    </row>
    <row r="13" spans="1:125" ht="15.75" thickBot="1">
      <c r="A13" s="200"/>
      <c r="B13" s="15" t="s">
        <v>44</v>
      </c>
      <c r="C13" s="33">
        <v>10912.5</v>
      </c>
      <c r="D13" s="34">
        <v>9176.7900000000009</v>
      </c>
      <c r="E13" s="34">
        <v>9178</v>
      </c>
      <c r="F13" s="35">
        <v>43193</v>
      </c>
      <c r="G13" s="33">
        <f>IF(E13-D13&lt;0,E13-D13,0)*-1</f>
        <v>0</v>
      </c>
      <c r="H13" s="33">
        <f>IF(E13-D13&gt;0,E13-D13,0)</f>
        <v>1.2099999999991269</v>
      </c>
      <c r="I13" s="34"/>
      <c r="J13" s="34"/>
      <c r="K13" s="34">
        <v>1568.57</v>
      </c>
      <c r="L13" s="34"/>
      <c r="M13" s="36">
        <f>(+K13)*M$5</f>
        <v>33.724254999999999</v>
      </c>
      <c r="N13" s="36">
        <f>(+K13)*N$5</f>
        <v>7.8428499999999994</v>
      </c>
      <c r="O13" s="36">
        <f>+K13-M13-N13+P13</f>
        <v>1527.0028949999999</v>
      </c>
      <c r="P13" s="36">
        <f>L13-(L13*(M$5+N$5))</f>
        <v>0</v>
      </c>
      <c r="Q13" s="37"/>
      <c r="R13" s="34"/>
      <c r="S13" s="34"/>
      <c r="T13" s="36"/>
      <c r="U13" s="36"/>
      <c r="V13" s="36"/>
      <c r="W13" s="36"/>
      <c r="X13" s="37"/>
      <c r="Y13" s="34"/>
      <c r="Z13" s="34">
        <v>135</v>
      </c>
      <c r="AA13" s="34"/>
      <c r="AB13" s="34"/>
      <c r="AC13" s="34">
        <v>32.14</v>
      </c>
      <c r="AD13" s="38"/>
      <c r="AE13" s="38"/>
      <c r="AF13" s="34">
        <v>826.79</v>
      </c>
      <c r="AG13" s="33">
        <f>(AF13*0.8)*0.85</f>
        <v>562.21720000000005</v>
      </c>
      <c r="AH13" s="33">
        <f>(AF13*0.8)*0.15</f>
        <v>99.214799999999997</v>
      </c>
      <c r="AI13" s="33">
        <f>AF13*0.2</f>
        <v>165.358</v>
      </c>
      <c r="AJ13" s="34">
        <v>0</v>
      </c>
      <c r="AK13" s="33">
        <f>(C13-AF13-AJ13)/1.12</f>
        <v>9005.0982142857119</v>
      </c>
      <c r="AL13" s="33">
        <f>AK13-SUM(Y13:AC13)</f>
        <v>8837.9582142857125</v>
      </c>
      <c r="AM13" s="33">
        <f>+AL13*0.12</f>
        <v>1060.5549857142855</v>
      </c>
      <c r="AN13" s="33">
        <f>+AM13+AL13+AJ13</f>
        <v>9898.5131999999976</v>
      </c>
      <c r="AO13" s="39">
        <v>440</v>
      </c>
      <c r="AP13" s="40">
        <v>180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33">
        <f>SUM(AO13:AY13)</f>
        <v>620</v>
      </c>
      <c r="BA13" s="38">
        <v>185</v>
      </c>
      <c r="BB13" s="38">
        <v>0</v>
      </c>
      <c r="BC13" s="33">
        <v>0</v>
      </c>
      <c r="BD13" s="33">
        <v>0</v>
      </c>
      <c r="BE13" s="39"/>
      <c r="BF13" s="39"/>
      <c r="BG13" s="39"/>
      <c r="BH13" s="39">
        <v>0</v>
      </c>
      <c r="BI13" s="39"/>
      <c r="BJ13" s="39"/>
      <c r="BK13" s="39"/>
      <c r="BL13" s="39"/>
      <c r="BM13" s="39"/>
      <c r="BN13" s="39"/>
      <c r="BO13" s="39"/>
      <c r="BP13" s="39"/>
      <c r="BQ13" s="39"/>
      <c r="BR13" s="41">
        <f>AZ13+BA13+BB13+BD13-BC13</f>
        <v>805</v>
      </c>
      <c r="BT13" s="146"/>
      <c r="BU13" s="145"/>
      <c r="BV13" s="145"/>
      <c r="BW13" s="145"/>
      <c r="BX13" s="145"/>
      <c r="BY13" s="145"/>
      <c r="BZ13" s="145"/>
      <c r="CA13" s="145"/>
      <c r="CB13" s="145"/>
      <c r="CC13" s="145"/>
      <c r="CD13" s="145"/>
      <c r="CE13" s="145"/>
      <c r="CF13" s="145"/>
      <c r="CG13" s="145"/>
      <c r="CH13" s="145"/>
      <c r="CI13" s="145"/>
      <c r="CJ13" s="145"/>
      <c r="CK13" s="145"/>
      <c r="CL13" s="145"/>
      <c r="CM13" s="145"/>
      <c r="CN13" s="145"/>
      <c r="CO13" s="145"/>
      <c r="CP13" s="145"/>
      <c r="CQ13" s="145"/>
      <c r="CR13" s="145"/>
      <c r="CS13" s="145"/>
    </row>
    <row r="14" spans="1:125" s="166" customFormat="1" ht="15.75" thickBot="1">
      <c r="A14" s="160"/>
      <c r="B14" s="43"/>
      <c r="C14" s="44">
        <f>SUBTOTAL(9,C12:C13)</f>
        <v>23775.599999999999</v>
      </c>
      <c r="D14" s="45">
        <f>SUBTOTAL(9,D12:D13)</f>
        <v>19837.910000000003</v>
      </c>
      <c r="E14" s="45">
        <f>SUBTOTAL(9,E12:E13)</f>
        <v>19845</v>
      </c>
      <c r="F14" s="45"/>
      <c r="G14" s="45">
        <f t="shared" ref="G14:L14" si="6">SUBTOTAL(9,G12:G13)</f>
        <v>0</v>
      </c>
      <c r="H14" s="45">
        <f t="shared" si="6"/>
        <v>7.0899999999983265</v>
      </c>
      <c r="I14" s="45">
        <f t="shared" si="6"/>
        <v>0</v>
      </c>
      <c r="J14" s="45">
        <f t="shared" si="6"/>
        <v>0</v>
      </c>
      <c r="K14" s="162">
        <f t="shared" si="6"/>
        <v>3621.87</v>
      </c>
      <c r="L14" s="163">
        <f t="shared" si="6"/>
        <v>0</v>
      </c>
      <c r="M14" s="164">
        <f t="shared" ref="M14:M22" si="7">(+K14)*M$5</f>
        <v>77.870204999999984</v>
      </c>
      <c r="N14" s="164">
        <f t="shared" ref="N14:N22" si="8">(+K14)*N$5</f>
        <v>18.109349999999999</v>
      </c>
      <c r="O14" s="164">
        <f t="shared" ref="O14:O22" si="9">+K14-M14-N14+P14</f>
        <v>3525.8904449999995</v>
      </c>
      <c r="P14" s="164">
        <f t="shared" ref="P14:P20" si="10">L14-(L14*(M$5+N$5))</f>
        <v>0</v>
      </c>
      <c r="Q14" s="47"/>
      <c r="R14" s="45">
        <f t="shared" ref="R14:BQ14" si="11">SUBTOTAL(9,R12:R13)</f>
        <v>0</v>
      </c>
      <c r="S14" s="45">
        <f t="shared" si="11"/>
        <v>0</v>
      </c>
      <c r="T14" s="46">
        <f t="shared" si="11"/>
        <v>0</v>
      </c>
      <c r="U14" s="46">
        <f t="shared" si="11"/>
        <v>0</v>
      </c>
      <c r="V14" s="46">
        <f t="shared" si="11"/>
        <v>0</v>
      </c>
      <c r="W14" s="46">
        <f t="shared" si="11"/>
        <v>0</v>
      </c>
      <c r="X14" s="47"/>
      <c r="Y14" s="45">
        <f>SUBTOTAL(9,Y12:Y13)</f>
        <v>0</v>
      </c>
      <c r="Z14" s="45"/>
      <c r="AA14" s="45"/>
      <c r="AB14" s="45"/>
      <c r="AC14" s="45"/>
      <c r="AD14" s="48"/>
      <c r="AE14" s="48"/>
      <c r="AF14" s="45"/>
      <c r="AG14" s="44">
        <f t="shared" si="11"/>
        <v>1195.27</v>
      </c>
      <c r="AH14" s="44">
        <f t="shared" si="11"/>
        <v>210.93</v>
      </c>
      <c r="AI14" s="44">
        <f t="shared" si="11"/>
        <v>351.55</v>
      </c>
      <c r="AJ14" s="45">
        <f t="shared" si="11"/>
        <v>0</v>
      </c>
      <c r="AK14" s="44">
        <f t="shared" si="11"/>
        <v>19658.794642857138</v>
      </c>
      <c r="AL14" s="44">
        <f t="shared" si="11"/>
        <v>19342.974642857138</v>
      </c>
      <c r="AM14" s="44">
        <f t="shared" si="11"/>
        <v>2321.1569571428568</v>
      </c>
      <c r="AN14" s="44">
        <f t="shared" ref="AN14:AN43" si="12">+AM14+AL14+AJ14</f>
        <v>21664.131599999993</v>
      </c>
      <c r="AO14" s="49">
        <f t="shared" si="11"/>
        <v>440</v>
      </c>
      <c r="AP14" s="49">
        <f t="shared" si="11"/>
        <v>180</v>
      </c>
      <c r="AQ14" s="49">
        <f t="shared" si="11"/>
        <v>0</v>
      </c>
      <c r="AR14" s="49">
        <f t="shared" si="11"/>
        <v>0</v>
      </c>
      <c r="AS14" s="49">
        <f t="shared" si="11"/>
        <v>0</v>
      </c>
      <c r="AT14" s="49">
        <f t="shared" si="11"/>
        <v>0</v>
      </c>
      <c r="AU14" s="49">
        <f>SUBTOTAL(9,AU12:AU13)</f>
        <v>0</v>
      </c>
      <c r="AV14" s="49">
        <f t="shared" si="11"/>
        <v>0</v>
      </c>
      <c r="AW14" s="49">
        <f t="shared" si="11"/>
        <v>0</v>
      </c>
      <c r="AX14" s="49">
        <f t="shared" si="11"/>
        <v>0</v>
      </c>
      <c r="AY14" s="49">
        <f t="shared" si="11"/>
        <v>0</v>
      </c>
      <c r="AZ14" s="44">
        <f t="shared" si="11"/>
        <v>620</v>
      </c>
      <c r="BA14" s="48">
        <f t="shared" si="11"/>
        <v>185</v>
      </c>
      <c r="BB14" s="48">
        <f t="shared" si="11"/>
        <v>0</v>
      </c>
      <c r="BC14" s="44">
        <f t="shared" si="11"/>
        <v>0</v>
      </c>
      <c r="BD14" s="44">
        <v>0</v>
      </c>
      <c r="BE14" s="49">
        <f t="shared" si="11"/>
        <v>0</v>
      </c>
      <c r="BF14" s="49">
        <f>SUBTOTAL(9,BF12:BF13)</f>
        <v>0</v>
      </c>
      <c r="BG14" s="49">
        <f t="shared" si="11"/>
        <v>0</v>
      </c>
      <c r="BH14" s="49">
        <f t="shared" si="11"/>
        <v>0</v>
      </c>
      <c r="BI14" s="49">
        <f t="shared" si="11"/>
        <v>0</v>
      </c>
      <c r="BJ14" s="49">
        <f t="shared" si="11"/>
        <v>0</v>
      </c>
      <c r="BK14" s="49">
        <f t="shared" si="11"/>
        <v>0</v>
      </c>
      <c r="BL14" s="49">
        <f t="shared" si="11"/>
        <v>0</v>
      </c>
      <c r="BM14" s="49">
        <f t="shared" si="11"/>
        <v>0</v>
      </c>
      <c r="BN14" s="49">
        <f t="shared" si="11"/>
        <v>0</v>
      </c>
      <c r="BO14" s="49">
        <f t="shared" si="11"/>
        <v>0</v>
      </c>
      <c r="BP14" s="49">
        <f t="shared" si="11"/>
        <v>0</v>
      </c>
      <c r="BQ14" s="49">
        <f t="shared" si="11"/>
        <v>0</v>
      </c>
      <c r="BR14" s="44">
        <f>SUBTOTAL(9,BR12:BR13)</f>
        <v>805</v>
      </c>
      <c r="BU14" s="167"/>
      <c r="BV14" s="167"/>
      <c r="BW14" s="167"/>
      <c r="BX14" s="167"/>
      <c r="BY14" s="167"/>
      <c r="BZ14" s="167"/>
      <c r="CA14" s="167"/>
      <c r="CB14" s="167"/>
      <c r="CC14" s="167"/>
      <c r="CD14" s="167"/>
      <c r="CE14" s="167"/>
      <c r="CF14" s="167"/>
      <c r="CG14" s="167"/>
      <c r="CH14" s="167"/>
      <c r="CI14" s="167"/>
      <c r="CJ14" s="167"/>
      <c r="CK14" s="167"/>
      <c r="CL14" s="167"/>
      <c r="CM14" s="167"/>
      <c r="CN14" s="167"/>
      <c r="CO14" s="167"/>
      <c r="CP14" s="167"/>
      <c r="CQ14" s="167"/>
      <c r="CR14" s="167"/>
      <c r="CS14" s="167"/>
      <c r="CT14" s="167"/>
      <c r="CU14" s="167"/>
      <c r="CV14" s="167"/>
      <c r="CW14" s="167"/>
      <c r="CX14" s="167"/>
      <c r="CY14" s="167"/>
      <c r="CZ14" s="167"/>
      <c r="DA14" s="167"/>
      <c r="DB14" s="167"/>
      <c r="DC14" s="167"/>
      <c r="DD14" s="167"/>
      <c r="DE14" s="167"/>
      <c r="DF14" s="167"/>
      <c r="DG14" s="167"/>
      <c r="DH14" s="167"/>
      <c r="DI14" s="167"/>
      <c r="DJ14" s="167"/>
      <c r="DK14" s="167"/>
      <c r="DL14" s="167"/>
      <c r="DM14" s="167"/>
      <c r="DN14" s="167"/>
      <c r="DO14" s="167"/>
      <c r="DP14" s="167"/>
      <c r="DQ14" s="167"/>
      <c r="DR14" s="167"/>
      <c r="DS14" s="167"/>
      <c r="DT14" s="167"/>
      <c r="DU14" s="167"/>
    </row>
    <row r="15" spans="1:125">
      <c r="A15" s="199">
        <f>+A12+1</f>
        <v>43162</v>
      </c>
      <c r="B15" s="32" t="s">
        <v>43</v>
      </c>
      <c r="C15" s="33">
        <v>14172.05</v>
      </c>
      <c r="D15" s="34">
        <v>12369.65</v>
      </c>
      <c r="E15" s="34">
        <v>12370</v>
      </c>
      <c r="F15" s="171">
        <v>43193</v>
      </c>
      <c r="G15" s="33">
        <f>IF(E15-D15&lt;0,E15-D15,0)*-1</f>
        <v>0</v>
      </c>
      <c r="H15" s="33">
        <f>IF(E15-D15&gt;0,E15-D15,0)</f>
        <v>0.3500000000003638</v>
      </c>
      <c r="I15" s="34"/>
      <c r="J15" s="34"/>
      <c r="K15" s="34">
        <v>1470.18</v>
      </c>
      <c r="L15" s="34"/>
      <c r="M15" s="36">
        <f t="shared" si="7"/>
        <v>31.60887</v>
      </c>
      <c r="N15" s="36">
        <f t="shared" si="8"/>
        <v>7.3509000000000002</v>
      </c>
      <c r="O15" s="36">
        <f t="shared" si="9"/>
        <v>1431.2202300000001</v>
      </c>
      <c r="P15" s="36">
        <f t="shared" si="10"/>
        <v>0</v>
      </c>
      <c r="Q15" s="37"/>
      <c r="R15" s="34"/>
      <c r="S15" s="34"/>
      <c r="T15" s="36">
        <f>+R15*T$5</f>
        <v>0</v>
      </c>
      <c r="U15" s="36">
        <f>+R15*U$5</f>
        <v>0</v>
      </c>
      <c r="V15" s="36">
        <f>+R15-T15-U15+W15</f>
        <v>0</v>
      </c>
      <c r="W15" s="36">
        <f>+S15-(S15*(T$5+U$5))</f>
        <v>0</v>
      </c>
      <c r="X15" s="37"/>
      <c r="Y15" s="34"/>
      <c r="Z15" s="34"/>
      <c r="AA15" s="34">
        <v>34</v>
      </c>
      <c r="AB15" s="34"/>
      <c r="AC15" s="34">
        <v>298.22000000000003</v>
      </c>
      <c r="AD15" s="38"/>
      <c r="AE15" s="38"/>
      <c r="AF15" s="34">
        <v>1085.98</v>
      </c>
      <c r="AG15" s="33">
        <f>(AF15*0.8)*0.85</f>
        <v>738.46640000000002</v>
      </c>
      <c r="AH15" s="33">
        <f>(AF15*0.8)*0.15</f>
        <v>130.3176</v>
      </c>
      <c r="AI15" s="33">
        <f>AF15*0.2</f>
        <v>217.19600000000003</v>
      </c>
      <c r="AJ15" s="34"/>
      <c r="AK15" s="33">
        <f t="shared" ref="AK15:AK16" si="13">(C15-AF15-AJ15)/1.12</f>
        <v>11683.991071428571</v>
      </c>
      <c r="AL15" s="33">
        <f t="shared" ref="AL15:AL16" si="14">AK15-SUM(Y15:AC15)</f>
        <v>11351.771071428571</v>
      </c>
      <c r="AM15" s="33">
        <f t="shared" ref="AM15:AM19" si="15">+AL15*0.12</f>
        <v>1362.2125285714285</v>
      </c>
      <c r="AN15" s="33">
        <f t="shared" si="12"/>
        <v>12713.9836</v>
      </c>
      <c r="AO15" s="39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33">
        <f>SUM(AO15:AY15)</f>
        <v>0</v>
      </c>
      <c r="BA15" s="38"/>
      <c r="BB15" s="38"/>
      <c r="BC15" s="33">
        <f>SUM(BE15:BM15)*0.1+(BN15*0.5)</f>
        <v>0</v>
      </c>
      <c r="BD15" s="33">
        <f>SUM(BE15:BM15)+(BN15*0.5)</f>
        <v>0</v>
      </c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41">
        <f>AZ15+BA15+BB15+BD15-BC15</f>
        <v>0</v>
      </c>
      <c r="BT15" s="146"/>
      <c r="BU15" s="145"/>
      <c r="BV15" s="145"/>
      <c r="BW15" s="145"/>
      <c r="BX15" s="145"/>
      <c r="BY15" s="145"/>
      <c r="BZ15" s="145"/>
      <c r="CA15" s="145"/>
      <c r="CB15" s="145"/>
      <c r="CC15" s="145"/>
      <c r="CD15" s="145"/>
      <c r="CE15" s="145"/>
      <c r="CF15" s="145"/>
      <c r="CG15" s="145"/>
      <c r="CH15" s="145"/>
      <c r="CI15" s="145"/>
      <c r="CJ15" s="145"/>
      <c r="CK15" s="145"/>
      <c r="CL15" s="145"/>
      <c r="CM15" s="145"/>
      <c r="CN15" s="145"/>
      <c r="CO15" s="145"/>
      <c r="CP15" s="145"/>
      <c r="CQ15" s="145"/>
      <c r="CR15" s="145"/>
      <c r="CS15" s="145"/>
    </row>
    <row r="16" spans="1:125" ht="15.75" thickBot="1">
      <c r="A16" s="200"/>
      <c r="B16" s="15" t="s">
        <v>44</v>
      </c>
      <c r="C16" s="33">
        <v>13052.62</v>
      </c>
      <c r="D16" s="34">
        <v>9213.44</v>
      </c>
      <c r="E16" s="34">
        <v>9215</v>
      </c>
      <c r="F16" s="171">
        <v>43194</v>
      </c>
      <c r="G16" s="33">
        <f>IF(E16-D16&lt;0,E16-D16,0)*-1</f>
        <v>0</v>
      </c>
      <c r="H16" s="33">
        <f>IF(E16-D16&gt;0,E16-D16,0)</f>
        <v>1.5599999999994907</v>
      </c>
      <c r="I16" s="34"/>
      <c r="J16" s="34"/>
      <c r="K16" s="34">
        <v>3021.68</v>
      </c>
      <c r="L16" s="34"/>
      <c r="M16" s="36">
        <f>(+K16)*M$5</f>
        <v>64.966119999999989</v>
      </c>
      <c r="N16" s="36">
        <f t="shared" si="8"/>
        <v>15.1084</v>
      </c>
      <c r="O16" s="36">
        <f>+K16-M16-N16+P16</f>
        <v>2941.6054799999997</v>
      </c>
      <c r="P16" s="36">
        <f>L16-(L16*(M$5+N$5))</f>
        <v>0</v>
      </c>
      <c r="Q16" s="37"/>
      <c r="R16" s="34"/>
      <c r="S16" s="34"/>
      <c r="T16" s="36">
        <f>+R16*T$5</f>
        <v>0</v>
      </c>
      <c r="U16" s="36">
        <f>+R16*U$5</f>
        <v>0</v>
      </c>
      <c r="V16" s="36">
        <f>+R16-T16-U16+W16</f>
        <v>0</v>
      </c>
      <c r="W16" s="36">
        <f>+S16-(S16*(T$5+U$5))</f>
        <v>0</v>
      </c>
      <c r="X16" s="37"/>
      <c r="Y16" s="34"/>
      <c r="Z16" s="34"/>
      <c r="AA16" s="34"/>
      <c r="AB16" s="34"/>
      <c r="AC16" s="34">
        <v>37.5</v>
      </c>
      <c r="AD16" s="38" t="s">
        <v>156</v>
      </c>
      <c r="AE16" s="38">
        <v>780</v>
      </c>
      <c r="AF16" s="34">
        <v>938.12</v>
      </c>
      <c r="AG16" s="33">
        <f>(AF16*0.8)*0.85</f>
        <v>637.92160000000001</v>
      </c>
      <c r="AH16" s="33">
        <f>(AF16*0.8)*0.15</f>
        <v>112.57440000000001</v>
      </c>
      <c r="AI16" s="33">
        <f>AF16*0.2</f>
        <v>187.62400000000002</v>
      </c>
      <c r="AJ16" s="34">
        <v>0</v>
      </c>
      <c r="AK16" s="33">
        <f t="shared" si="13"/>
        <v>10816.517857142857</v>
      </c>
      <c r="AL16" s="33">
        <f t="shared" si="14"/>
        <v>10779.017857142857</v>
      </c>
      <c r="AM16" s="33">
        <f t="shared" si="15"/>
        <v>1293.4821428571429</v>
      </c>
      <c r="AN16" s="33">
        <f t="shared" si="12"/>
        <v>12072.5</v>
      </c>
      <c r="AO16" s="39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33">
        <f>SUM(AO16:AY16)</f>
        <v>0</v>
      </c>
      <c r="BA16" s="38">
        <v>370</v>
      </c>
      <c r="BB16" s="38"/>
      <c r="BC16" s="33">
        <v>0</v>
      </c>
      <c r="BD16" s="33">
        <v>0</v>
      </c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41">
        <f>AZ16+BA16+BB16+BD16-BC16</f>
        <v>370</v>
      </c>
      <c r="BT16" s="146"/>
      <c r="BU16" s="145"/>
      <c r="BV16" s="145"/>
      <c r="BW16" s="145"/>
      <c r="BX16" s="145"/>
      <c r="BY16" s="145"/>
      <c r="BZ16" s="145"/>
      <c r="CA16" s="145"/>
      <c r="CB16" s="145"/>
      <c r="CC16" s="145"/>
      <c r="CD16" s="145"/>
      <c r="CE16" s="145"/>
      <c r="CF16" s="145"/>
      <c r="CG16" s="145"/>
      <c r="CH16" s="145"/>
      <c r="CI16" s="145"/>
      <c r="CJ16" s="145"/>
      <c r="CK16" s="145"/>
      <c r="CL16" s="145"/>
      <c r="CM16" s="145"/>
      <c r="CN16" s="145"/>
      <c r="CO16" s="145"/>
      <c r="CP16" s="145"/>
      <c r="CQ16" s="145"/>
      <c r="CR16" s="145"/>
      <c r="CS16" s="145"/>
    </row>
    <row r="17" spans="1:125" s="166" customFormat="1" ht="15.75" thickBot="1">
      <c r="A17" s="160"/>
      <c r="B17" s="43"/>
      <c r="C17" s="44">
        <f>SUBTOTAL(9,C15:C16)</f>
        <v>27224.67</v>
      </c>
      <c r="D17" s="45">
        <f>SUBTOTAL(9,D15:D16)</f>
        <v>21583.09</v>
      </c>
      <c r="E17" s="45">
        <f>SUBTOTAL(9,E15:E16)</f>
        <v>21585</v>
      </c>
      <c r="F17" s="172"/>
      <c r="G17" s="45">
        <f t="shared" ref="G17:L17" si="16">SUBTOTAL(9,G15:G16)</f>
        <v>0</v>
      </c>
      <c r="H17" s="45">
        <f t="shared" si="16"/>
        <v>1.9099999999998545</v>
      </c>
      <c r="I17" s="45">
        <f t="shared" si="16"/>
        <v>0</v>
      </c>
      <c r="J17" s="45">
        <f t="shared" si="16"/>
        <v>0</v>
      </c>
      <c r="K17" s="162">
        <f t="shared" si="16"/>
        <v>4491.8599999999997</v>
      </c>
      <c r="L17" s="45">
        <f t="shared" si="16"/>
        <v>0</v>
      </c>
      <c r="M17" s="164">
        <f t="shared" si="7"/>
        <v>96.574989999999985</v>
      </c>
      <c r="N17" s="164">
        <f t="shared" si="8"/>
        <v>22.459299999999999</v>
      </c>
      <c r="O17" s="164">
        <f t="shared" si="9"/>
        <v>4372.8257099999992</v>
      </c>
      <c r="P17" s="164">
        <f t="shared" si="10"/>
        <v>0</v>
      </c>
      <c r="Q17" s="47"/>
      <c r="R17" s="45">
        <f t="shared" ref="R17:BQ17" si="17">SUBTOTAL(9,R15:R16)</f>
        <v>0</v>
      </c>
      <c r="S17" s="45">
        <f t="shared" si="17"/>
        <v>0</v>
      </c>
      <c r="T17" s="46">
        <f t="shared" si="17"/>
        <v>0</v>
      </c>
      <c r="U17" s="46">
        <f t="shared" si="17"/>
        <v>0</v>
      </c>
      <c r="V17" s="46">
        <f t="shared" si="17"/>
        <v>0</v>
      </c>
      <c r="W17" s="46">
        <f t="shared" si="17"/>
        <v>0</v>
      </c>
      <c r="X17" s="47"/>
      <c r="Y17" s="45">
        <f>SUBTOTAL(9,Y15:Y16)</f>
        <v>0</v>
      </c>
      <c r="Z17" s="45"/>
      <c r="AA17" s="45"/>
      <c r="AB17" s="45"/>
      <c r="AC17" s="45"/>
      <c r="AD17" s="48"/>
      <c r="AE17" s="48"/>
      <c r="AF17" s="45"/>
      <c r="AG17" s="44">
        <f t="shared" si="17"/>
        <v>1376.3879999999999</v>
      </c>
      <c r="AH17" s="44">
        <f t="shared" si="17"/>
        <v>242.892</v>
      </c>
      <c r="AI17" s="44">
        <f t="shared" si="17"/>
        <v>404.82000000000005</v>
      </c>
      <c r="AJ17" s="45">
        <f t="shared" si="17"/>
        <v>0</v>
      </c>
      <c r="AK17" s="44">
        <f t="shared" si="17"/>
        <v>22500.508928571428</v>
      </c>
      <c r="AL17" s="44">
        <f t="shared" si="17"/>
        <v>22130.788928571426</v>
      </c>
      <c r="AM17" s="44">
        <f t="shared" si="17"/>
        <v>2655.6946714285714</v>
      </c>
      <c r="AN17" s="44">
        <f t="shared" si="12"/>
        <v>24786.4836</v>
      </c>
      <c r="AO17" s="49">
        <f t="shared" si="17"/>
        <v>0</v>
      </c>
      <c r="AP17" s="49">
        <f t="shared" si="17"/>
        <v>0</v>
      </c>
      <c r="AQ17" s="49">
        <f t="shared" si="17"/>
        <v>0</v>
      </c>
      <c r="AR17" s="49">
        <f t="shared" si="17"/>
        <v>0</v>
      </c>
      <c r="AS17" s="49">
        <f t="shared" si="17"/>
        <v>0</v>
      </c>
      <c r="AT17" s="49">
        <f t="shared" si="17"/>
        <v>0</v>
      </c>
      <c r="AU17" s="49">
        <f>SUBTOTAL(9,AU15:AU16)</f>
        <v>0</v>
      </c>
      <c r="AV17" s="49">
        <f t="shared" si="17"/>
        <v>0</v>
      </c>
      <c r="AW17" s="49">
        <f t="shared" si="17"/>
        <v>0</v>
      </c>
      <c r="AX17" s="49">
        <f t="shared" si="17"/>
        <v>0</v>
      </c>
      <c r="AY17" s="49">
        <f t="shared" si="17"/>
        <v>0</v>
      </c>
      <c r="AZ17" s="44">
        <f t="shared" si="17"/>
        <v>0</v>
      </c>
      <c r="BA17" s="48">
        <f t="shared" si="17"/>
        <v>370</v>
      </c>
      <c r="BB17" s="48">
        <f t="shared" si="17"/>
        <v>0</v>
      </c>
      <c r="BC17" s="44">
        <f t="shared" si="17"/>
        <v>0</v>
      </c>
      <c r="BD17" s="44">
        <f t="shared" si="17"/>
        <v>0</v>
      </c>
      <c r="BE17" s="49">
        <f t="shared" si="17"/>
        <v>0</v>
      </c>
      <c r="BF17" s="49">
        <f>SUBTOTAL(9,BF15:BF16)</f>
        <v>0</v>
      </c>
      <c r="BG17" s="49">
        <f t="shared" si="17"/>
        <v>0</v>
      </c>
      <c r="BH17" s="49">
        <f t="shared" si="17"/>
        <v>0</v>
      </c>
      <c r="BI17" s="49">
        <f t="shared" si="17"/>
        <v>0</v>
      </c>
      <c r="BJ17" s="49">
        <f t="shared" si="17"/>
        <v>0</v>
      </c>
      <c r="BK17" s="49">
        <f t="shared" si="17"/>
        <v>0</v>
      </c>
      <c r="BL17" s="49">
        <f t="shared" si="17"/>
        <v>0</v>
      </c>
      <c r="BM17" s="49">
        <f t="shared" si="17"/>
        <v>0</v>
      </c>
      <c r="BN17" s="49">
        <f t="shared" si="17"/>
        <v>0</v>
      </c>
      <c r="BO17" s="49">
        <f t="shared" si="17"/>
        <v>0</v>
      </c>
      <c r="BP17" s="49">
        <f t="shared" si="17"/>
        <v>0</v>
      </c>
      <c r="BQ17" s="49">
        <f t="shared" si="17"/>
        <v>0</v>
      </c>
      <c r="BR17" s="44">
        <f>SUBTOTAL(9,BR15:BR16)</f>
        <v>370</v>
      </c>
      <c r="BU17" s="167"/>
      <c r="BV17" s="167"/>
      <c r="BW17" s="167"/>
      <c r="BX17" s="167"/>
      <c r="BY17" s="167"/>
      <c r="BZ17" s="167"/>
      <c r="CA17" s="167"/>
      <c r="CB17" s="167"/>
      <c r="CC17" s="167"/>
      <c r="CD17" s="167"/>
      <c r="CE17" s="167"/>
      <c r="CF17" s="167"/>
      <c r="CG17" s="167"/>
      <c r="CH17" s="167"/>
      <c r="CI17" s="167"/>
      <c r="CJ17" s="167"/>
      <c r="CK17" s="167"/>
      <c r="CL17" s="167"/>
      <c r="CM17" s="167"/>
      <c r="CN17" s="167"/>
      <c r="CO17" s="167"/>
      <c r="CP17" s="167"/>
      <c r="CQ17" s="167"/>
      <c r="CR17" s="167"/>
      <c r="CS17" s="167"/>
      <c r="CT17" s="167"/>
      <c r="CU17" s="167"/>
      <c r="CV17" s="167"/>
      <c r="CW17" s="167"/>
      <c r="CX17" s="167"/>
      <c r="CY17" s="167"/>
      <c r="CZ17" s="167"/>
      <c r="DA17" s="167"/>
      <c r="DB17" s="167"/>
      <c r="DC17" s="167"/>
      <c r="DD17" s="167"/>
      <c r="DE17" s="167"/>
      <c r="DF17" s="167"/>
      <c r="DG17" s="167"/>
      <c r="DH17" s="167"/>
      <c r="DI17" s="167"/>
      <c r="DJ17" s="167"/>
      <c r="DK17" s="167"/>
      <c r="DL17" s="167"/>
      <c r="DM17" s="167"/>
      <c r="DN17" s="167"/>
      <c r="DO17" s="167"/>
      <c r="DP17" s="167"/>
      <c r="DQ17" s="167"/>
      <c r="DR17" s="167"/>
      <c r="DS17" s="167"/>
      <c r="DT17" s="167"/>
      <c r="DU17" s="167"/>
    </row>
    <row r="18" spans="1:125">
      <c r="A18" s="199">
        <f>+A15+1</f>
        <v>43163</v>
      </c>
      <c r="B18" s="32" t="s">
        <v>43</v>
      </c>
      <c r="C18" s="33">
        <v>13348.94</v>
      </c>
      <c r="D18" s="34">
        <v>10123.93</v>
      </c>
      <c r="E18" s="34">
        <v>10123</v>
      </c>
      <c r="F18" s="171">
        <v>43163</v>
      </c>
      <c r="G18" s="33">
        <f>IF(E18-D18&lt;0,E18-D18,0)*-1</f>
        <v>0.93000000000029104</v>
      </c>
      <c r="H18" s="33">
        <f>IF(E18-D18&gt;0,E18-D18,0)</f>
        <v>0</v>
      </c>
      <c r="I18" s="34"/>
      <c r="J18" s="34"/>
      <c r="K18" s="34">
        <v>3120.01</v>
      </c>
      <c r="L18" s="34"/>
      <c r="M18" s="36">
        <f t="shared" si="7"/>
        <v>67.080214999999995</v>
      </c>
      <c r="N18" s="36">
        <f t="shared" si="8"/>
        <v>15.600050000000001</v>
      </c>
      <c r="O18" s="36">
        <f t="shared" si="9"/>
        <v>3037.3297350000003</v>
      </c>
      <c r="P18" s="36"/>
      <c r="Q18" s="37"/>
      <c r="R18" s="34"/>
      <c r="S18" s="34"/>
      <c r="T18" s="36"/>
      <c r="U18" s="36"/>
      <c r="V18" s="36"/>
      <c r="W18" s="36"/>
      <c r="X18" s="37"/>
      <c r="Y18" s="34"/>
      <c r="Z18" s="34">
        <v>105</v>
      </c>
      <c r="AA18" s="34"/>
      <c r="AB18" s="34"/>
      <c r="AC18" s="34"/>
      <c r="AD18" s="38"/>
      <c r="AE18" s="38"/>
      <c r="AF18" s="34">
        <v>883.94</v>
      </c>
      <c r="AG18" s="33">
        <f>(AF18*0.8)*0.85</f>
        <v>601.07920000000001</v>
      </c>
      <c r="AH18" s="33">
        <f>(AF18*0.8)*0.15</f>
        <v>106.0728</v>
      </c>
      <c r="AI18" s="33">
        <f>AF18*0.2</f>
        <v>176.78800000000001</v>
      </c>
      <c r="AJ18" s="34"/>
      <c r="AK18" s="33">
        <f t="shared" ref="AK18:AK19" si="18">(C18-AF18-AJ18)/1.12</f>
        <v>11129.464285714284</v>
      </c>
      <c r="AL18" s="33">
        <f t="shared" ref="AL18:AL19" si="19">AK18-SUM(Y18:AC18)</f>
        <v>11024.464285714284</v>
      </c>
      <c r="AM18" s="33">
        <f t="shared" si="15"/>
        <v>1322.9357142857141</v>
      </c>
      <c r="AN18" s="33">
        <f t="shared" ref="AN18:AN19" si="20">+AM18+AL18+AJ18</f>
        <v>12347.399999999998</v>
      </c>
      <c r="AO18" s="39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33">
        <f>SUM(AO18:AY18)</f>
        <v>0</v>
      </c>
      <c r="BA18" s="38"/>
      <c r="BB18" s="38"/>
      <c r="BC18" s="33">
        <f>SUM(BE18:BM18)*0.1+(BN18*0.5)</f>
        <v>0</v>
      </c>
      <c r="BD18" s="33">
        <f>SUM(BE18:BM18)+(BN18*0.5)</f>
        <v>0</v>
      </c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41">
        <f>AZ18+BA18+BB18+BD18-BC18</f>
        <v>0</v>
      </c>
      <c r="BT18" s="146"/>
      <c r="BU18" s="145"/>
      <c r="BV18" s="145"/>
      <c r="BW18" s="145"/>
      <c r="BX18" s="145"/>
      <c r="BY18" s="145"/>
      <c r="BZ18" s="145"/>
      <c r="CA18" s="145"/>
      <c r="CB18" s="145"/>
      <c r="CC18" s="145"/>
      <c r="CD18" s="145"/>
      <c r="CE18" s="145"/>
      <c r="CF18" s="145"/>
      <c r="CG18" s="145"/>
      <c r="CH18" s="145"/>
      <c r="CI18" s="145"/>
      <c r="CJ18" s="145"/>
      <c r="CK18" s="145"/>
      <c r="CL18" s="145"/>
      <c r="CM18" s="145"/>
      <c r="CN18" s="145"/>
      <c r="CO18" s="145"/>
      <c r="CP18" s="145"/>
      <c r="CQ18" s="145"/>
      <c r="CR18" s="145"/>
      <c r="CS18" s="145"/>
    </row>
    <row r="19" spans="1:125" ht="15.75" thickBot="1">
      <c r="A19" s="200"/>
      <c r="B19" s="15" t="s">
        <v>44</v>
      </c>
      <c r="C19" s="33">
        <v>13832.08</v>
      </c>
      <c r="D19" s="34">
        <v>11288.6</v>
      </c>
      <c r="E19" s="34">
        <v>11290</v>
      </c>
      <c r="F19" s="171">
        <v>43195</v>
      </c>
      <c r="G19" s="33">
        <f>IF(E19-D19&lt;0,E19-D19,0)*-1</f>
        <v>0</v>
      </c>
      <c r="H19" s="33">
        <f>IF(E19-D19&gt;0,E19-D19,0)</f>
        <v>1.3999999999996362</v>
      </c>
      <c r="I19" s="34"/>
      <c r="J19" s="34"/>
      <c r="K19" s="34">
        <v>2543.48</v>
      </c>
      <c r="L19" s="34"/>
      <c r="M19" s="36">
        <f t="shared" si="7"/>
        <v>54.684819999999995</v>
      </c>
      <c r="N19" s="36">
        <f t="shared" si="8"/>
        <v>12.7174</v>
      </c>
      <c r="O19" s="36">
        <f t="shared" si="9"/>
        <v>2476.0777800000001</v>
      </c>
      <c r="P19" s="36"/>
      <c r="Q19" s="37"/>
      <c r="R19" s="34"/>
      <c r="S19" s="34"/>
      <c r="T19" s="36"/>
      <c r="U19" s="36"/>
      <c r="V19" s="36"/>
      <c r="W19" s="36"/>
      <c r="X19" s="37"/>
      <c r="Y19" s="34"/>
      <c r="Z19" s="34"/>
      <c r="AA19" s="34"/>
      <c r="AB19" s="34"/>
      <c r="AC19" s="34"/>
      <c r="AD19" s="38"/>
      <c r="AE19" s="38"/>
      <c r="AF19" s="34">
        <v>1121.08</v>
      </c>
      <c r="AG19" s="33">
        <f>(AF19*0.8)*0.85</f>
        <v>762.33439999999996</v>
      </c>
      <c r="AH19" s="33">
        <f>(AF19*0.8)*0.15</f>
        <v>134.52959999999999</v>
      </c>
      <c r="AI19" s="33">
        <f>AF19*0.2</f>
        <v>224.21600000000001</v>
      </c>
      <c r="AJ19" s="34">
        <v>0</v>
      </c>
      <c r="AK19" s="33">
        <f t="shared" si="18"/>
        <v>11349.107142857141</v>
      </c>
      <c r="AL19" s="33">
        <f t="shared" si="19"/>
        <v>11349.107142857141</v>
      </c>
      <c r="AM19" s="33">
        <f t="shared" si="15"/>
        <v>1361.8928571428569</v>
      </c>
      <c r="AN19" s="33">
        <f t="shared" si="20"/>
        <v>12710.999999999998</v>
      </c>
      <c r="AO19" s="39"/>
      <c r="AP19" s="40">
        <v>660</v>
      </c>
      <c r="AQ19" s="40"/>
      <c r="AR19" s="40"/>
      <c r="AS19" s="40"/>
      <c r="AT19" s="40"/>
      <c r="AU19" s="40"/>
      <c r="AV19" s="40"/>
      <c r="AW19" s="40"/>
      <c r="AX19" s="40"/>
      <c r="AY19" s="40"/>
      <c r="AZ19" s="33">
        <f>SUM(AO19:AY19)</f>
        <v>660</v>
      </c>
      <c r="BA19" s="38"/>
      <c r="BB19" s="38"/>
      <c r="BC19" s="33">
        <v>0</v>
      </c>
      <c r="BD19" s="33">
        <v>0</v>
      </c>
      <c r="BE19" s="39"/>
      <c r="BF19" s="39"/>
      <c r="BG19" s="39">
        <v>460</v>
      </c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41">
        <f>AZ19+BA19+BB19+BD19-BC19</f>
        <v>660</v>
      </c>
      <c r="BT19" s="146"/>
      <c r="BU19" s="145"/>
      <c r="BV19" s="145"/>
      <c r="BW19" s="145"/>
      <c r="BX19" s="145"/>
      <c r="BY19" s="145"/>
      <c r="BZ19" s="145"/>
      <c r="CA19" s="145"/>
      <c r="CB19" s="145"/>
      <c r="CC19" s="145"/>
      <c r="CD19" s="145"/>
      <c r="CE19" s="145"/>
      <c r="CF19" s="145"/>
      <c r="CG19" s="145"/>
      <c r="CH19" s="145"/>
      <c r="CI19" s="145"/>
      <c r="CJ19" s="145"/>
      <c r="CK19" s="145"/>
      <c r="CL19" s="145"/>
      <c r="CM19" s="145"/>
      <c r="CN19" s="145"/>
      <c r="CO19" s="145"/>
      <c r="CP19" s="145"/>
      <c r="CQ19" s="145"/>
      <c r="CR19" s="145"/>
      <c r="CS19" s="145"/>
    </row>
    <row r="20" spans="1:125" s="166" customFormat="1" ht="15.75" thickBot="1">
      <c r="A20" s="160"/>
      <c r="B20" s="43"/>
      <c r="C20" s="44">
        <f>SUBTOTAL(9,C18:C19)</f>
        <v>27181.02</v>
      </c>
      <c r="D20" s="45">
        <f>SUBTOTAL(9,D18:D19)</f>
        <v>21412.53</v>
      </c>
      <c r="E20" s="45">
        <f>SUBTOTAL(9,E18:E19)</f>
        <v>21413</v>
      </c>
      <c r="F20" s="172"/>
      <c r="G20" s="45">
        <f t="shared" ref="G20:L20" si="21">SUBTOTAL(9,G18:G19)</f>
        <v>0.93000000000029104</v>
      </c>
      <c r="H20" s="45">
        <f t="shared" si="21"/>
        <v>1.3999999999996362</v>
      </c>
      <c r="I20" s="45">
        <f t="shared" si="21"/>
        <v>0</v>
      </c>
      <c r="J20" s="45">
        <f t="shared" si="21"/>
        <v>0</v>
      </c>
      <c r="K20" s="162">
        <f t="shared" si="21"/>
        <v>5663.49</v>
      </c>
      <c r="L20" s="45">
        <f t="shared" si="21"/>
        <v>0</v>
      </c>
      <c r="M20" s="164">
        <f t="shared" si="7"/>
        <v>121.76503499999998</v>
      </c>
      <c r="N20" s="164">
        <f t="shared" si="8"/>
        <v>28.317450000000001</v>
      </c>
      <c r="O20" s="164">
        <f t="shared" si="9"/>
        <v>5513.4075149999999</v>
      </c>
      <c r="P20" s="164">
        <f t="shared" si="10"/>
        <v>0</v>
      </c>
      <c r="Q20" s="47"/>
      <c r="R20" s="45">
        <f t="shared" ref="R20:BQ20" si="22">SUBTOTAL(9,R18:R19)</f>
        <v>0</v>
      </c>
      <c r="S20" s="45">
        <f t="shared" si="22"/>
        <v>0</v>
      </c>
      <c r="T20" s="46">
        <f t="shared" si="22"/>
        <v>0</v>
      </c>
      <c r="U20" s="46">
        <f t="shared" si="22"/>
        <v>0</v>
      </c>
      <c r="V20" s="46">
        <f t="shared" si="22"/>
        <v>0</v>
      </c>
      <c r="W20" s="46">
        <f t="shared" si="22"/>
        <v>0</v>
      </c>
      <c r="X20" s="47"/>
      <c r="Y20" s="45">
        <f>SUBTOTAL(9,Y18:Y19)</f>
        <v>0</v>
      </c>
      <c r="Z20" s="45"/>
      <c r="AA20" s="45"/>
      <c r="AB20" s="45"/>
      <c r="AC20" s="45"/>
      <c r="AD20" s="48"/>
      <c r="AE20" s="48"/>
      <c r="AF20" s="45"/>
      <c r="AG20" s="44">
        <f t="shared" si="22"/>
        <v>1363.4135999999999</v>
      </c>
      <c r="AH20" s="44">
        <f t="shared" si="22"/>
        <v>240.60239999999999</v>
      </c>
      <c r="AI20" s="44">
        <f t="shared" si="22"/>
        <v>401.00400000000002</v>
      </c>
      <c r="AJ20" s="45">
        <v>0</v>
      </c>
      <c r="AK20" s="44">
        <f>SUBTOTAL(9,AK18:AK19)</f>
        <v>22478.571428571428</v>
      </c>
      <c r="AL20" s="44">
        <f t="shared" si="22"/>
        <v>22373.571428571428</v>
      </c>
      <c r="AM20" s="44">
        <f t="shared" si="22"/>
        <v>2684.8285714285712</v>
      </c>
      <c r="AN20" s="44">
        <f t="shared" si="12"/>
        <v>25058.399999999998</v>
      </c>
      <c r="AO20" s="49">
        <f t="shared" si="22"/>
        <v>0</v>
      </c>
      <c r="AP20" s="49">
        <f t="shared" si="22"/>
        <v>660</v>
      </c>
      <c r="AQ20" s="49">
        <f t="shared" si="22"/>
        <v>0</v>
      </c>
      <c r="AR20" s="49">
        <f t="shared" si="22"/>
        <v>0</v>
      </c>
      <c r="AS20" s="49">
        <f t="shared" si="22"/>
        <v>0</v>
      </c>
      <c r="AT20" s="49">
        <f t="shared" si="22"/>
        <v>0</v>
      </c>
      <c r="AU20" s="49">
        <f>SUBTOTAL(9,AU18:AU19)</f>
        <v>0</v>
      </c>
      <c r="AV20" s="49">
        <f t="shared" si="22"/>
        <v>0</v>
      </c>
      <c r="AW20" s="49">
        <f t="shared" si="22"/>
        <v>0</v>
      </c>
      <c r="AX20" s="49">
        <f t="shared" si="22"/>
        <v>0</v>
      </c>
      <c r="AY20" s="49">
        <f t="shared" si="22"/>
        <v>0</v>
      </c>
      <c r="AZ20" s="44">
        <f t="shared" si="22"/>
        <v>660</v>
      </c>
      <c r="BA20" s="48">
        <f t="shared" si="22"/>
        <v>0</v>
      </c>
      <c r="BB20" s="48">
        <f t="shared" si="22"/>
        <v>0</v>
      </c>
      <c r="BC20" s="44">
        <f t="shared" si="22"/>
        <v>0</v>
      </c>
      <c r="BD20" s="44">
        <f t="shared" si="22"/>
        <v>0</v>
      </c>
      <c r="BE20" s="49">
        <f t="shared" si="22"/>
        <v>0</v>
      </c>
      <c r="BF20" s="49">
        <f>SUBTOTAL(9,BF18:BF19)</f>
        <v>0</v>
      </c>
      <c r="BG20" s="49">
        <f t="shared" si="22"/>
        <v>460</v>
      </c>
      <c r="BH20" s="49">
        <f t="shared" si="22"/>
        <v>0</v>
      </c>
      <c r="BI20" s="49">
        <f t="shared" si="22"/>
        <v>0</v>
      </c>
      <c r="BJ20" s="49">
        <f t="shared" si="22"/>
        <v>0</v>
      </c>
      <c r="BK20" s="49">
        <f t="shared" si="22"/>
        <v>0</v>
      </c>
      <c r="BL20" s="49">
        <f t="shared" si="22"/>
        <v>0</v>
      </c>
      <c r="BM20" s="49">
        <f t="shared" si="22"/>
        <v>0</v>
      </c>
      <c r="BN20" s="49">
        <f t="shared" si="22"/>
        <v>0</v>
      </c>
      <c r="BO20" s="49">
        <f t="shared" si="22"/>
        <v>0</v>
      </c>
      <c r="BP20" s="49">
        <f t="shared" si="22"/>
        <v>0</v>
      </c>
      <c r="BQ20" s="49">
        <f t="shared" si="22"/>
        <v>0</v>
      </c>
      <c r="BR20" s="44">
        <f>SUBTOTAL(9,BR18:BR19)</f>
        <v>660</v>
      </c>
      <c r="BU20" s="167"/>
      <c r="BV20" s="167"/>
      <c r="BW20" s="167"/>
      <c r="BX20" s="167"/>
      <c r="BY20" s="167"/>
      <c r="BZ20" s="167"/>
      <c r="CA20" s="167"/>
      <c r="CB20" s="167"/>
      <c r="CC20" s="167"/>
      <c r="CD20" s="167"/>
      <c r="CE20" s="167"/>
      <c r="CF20" s="167"/>
      <c r="CG20" s="167"/>
      <c r="CH20" s="167"/>
      <c r="CI20" s="167"/>
      <c r="CJ20" s="167"/>
      <c r="CK20" s="167"/>
      <c r="CL20" s="167"/>
      <c r="CM20" s="167"/>
      <c r="CN20" s="167"/>
      <c r="CO20" s="167"/>
      <c r="CP20" s="167"/>
      <c r="CQ20" s="167"/>
      <c r="CR20" s="167"/>
      <c r="CS20" s="167"/>
      <c r="CT20" s="167"/>
      <c r="CU20" s="167"/>
      <c r="CV20" s="167"/>
      <c r="CW20" s="167"/>
      <c r="CX20" s="167"/>
      <c r="CY20" s="167"/>
      <c r="CZ20" s="167"/>
      <c r="DA20" s="167"/>
      <c r="DB20" s="167"/>
      <c r="DC20" s="167"/>
      <c r="DD20" s="167"/>
      <c r="DE20" s="167"/>
      <c r="DF20" s="167"/>
      <c r="DG20" s="167"/>
      <c r="DH20" s="167"/>
      <c r="DI20" s="167"/>
      <c r="DJ20" s="167"/>
      <c r="DK20" s="167"/>
      <c r="DL20" s="167"/>
      <c r="DM20" s="167"/>
      <c r="DN20" s="167"/>
      <c r="DO20" s="167"/>
      <c r="DP20" s="167"/>
      <c r="DQ20" s="167"/>
      <c r="DR20" s="167"/>
      <c r="DS20" s="167"/>
      <c r="DT20" s="167"/>
      <c r="DU20" s="167"/>
    </row>
    <row r="21" spans="1:125">
      <c r="A21" s="199">
        <f>+A18+1</f>
        <v>43164</v>
      </c>
      <c r="B21" s="32" t="s">
        <v>43</v>
      </c>
      <c r="C21" s="33">
        <v>21305.37</v>
      </c>
      <c r="D21" s="34">
        <v>13973.96</v>
      </c>
      <c r="E21" s="34">
        <v>13975</v>
      </c>
      <c r="F21" s="171">
        <v>43195</v>
      </c>
      <c r="G21" s="33">
        <f>IF(E21-D21&lt;0,E21-D21,0)*-1</f>
        <v>0</v>
      </c>
      <c r="H21" s="33">
        <f>IF(E21-D21&gt;0,E21-D21,0)</f>
        <v>1.0400000000008731</v>
      </c>
      <c r="I21" s="34"/>
      <c r="J21" s="34"/>
      <c r="K21" s="34">
        <v>6948.83</v>
      </c>
      <c r="L21" s="34"/>
      <c r="M21" s="36">
        <f t="shared" si="7"/>
        <v>149.399845</v>
      </c>
      <c r="N21" s="36">
        <f t="shared" si="8"/>
        <v>34.744149999999998</v>
      </c>
      <c r="O21" s="36">
        <f t="shared" si="9"/>
        <v>6764.6860049999996</v>
      </c>
      <c r="P21" s="36"/>
      <c r="Q21" s="37"/>
      <c r="R21" s="34"/>
      <c r="S21" s="34"/>
      <c r="T21" s="36"/>
      <c r="U21" s="36"/>
      <c r="V21" s="36"/>
      <c r="W21" s="36"/>
      <c r="X21" s="37"/>
      <c r="Y21" s="34"/>
      <c r="Z21" s="34">
        <v>37.75</v>
      </c>
      <c r="AA21" s="34">
        <v>97.5</v>
      </c>
      <c r="AB21" s="34"/>
      <c r="AC21" s="34">
        <v>247.33</v>
      </c>
      <c r="AD21" s="38"/>
      <c r="AE21" s="38"/>
      <c r="AF21" s="34">
        <v>1683.76</v>
      </c>
      <c r="AG21" s="33">
        <f>(AF21*0.8)*0.85</f>
        <v>1144.9567999999999</v>
      </c>
      <c r="AH21" s="33">
        <f>(AF21*0.8)*0.15</f>
        <v>202.05119999999999</v>
      </c>
      <c r="AI21" s="33">
        <f>AF21*0.2</f>
        <v>336.75200000000001</v>
      </c>
      <c r="AJ21" s="34">
        <v>0</v>
      </c>
      <c r="AK21" s="33">
        <f>(C21-AF21-AJ21)/1.12</f>
        <v>17519.294642857141</v>
      </c>
      <c r="AL21" s="33">
        <f>AK21-SUM(Y21:AC21)</f>
        <v>17136.71464285714</v>
      </c>
      <c r="AM21" s="33">
        <f>+AL21*0.12</f>
        <v>2056.4057571428566</v>
      </c>
      <c r="AN21" s="33">
        <f>+AM21+AL21+AJ21</f>
        <v>19193.120399999996</v>
      </c>
      <c r="AO21" s="39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33">
        <f>SUM(AO21:AY21)</f>
        <v>0</v>
      </c>
      <c r="BA21" s="38"/>
      <c r="BB21" s="38"/>
      <c r="BC21" s="33">
        <f>SUM(BE21:BM21)*0.1+(BN21*0.5)</f>
        <v>0</v>
      </c>
      <c r="BD21" s="33">
        <f>SUM(BE21:BM21)+(BN21*0.5)</f>
        <v>0</v>
      </c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41">
        <f>AZ21+BA21+BB21+BD21-BC21</f>
        <v>0</v>
      </c>
      <c r="BT21" s="146"/>
      <c r="BU21" s="145"/>
      <c r="BV21" s="145"/>
      <c r="BW21" s="145"/>
      <c r="BX21" s="145"/>
      <c r="BY21" s="145"/>
      <c r="BZ21" s="145"/>
      <c r="CA21" s="145"/>
      <c r="CB21" s="145"/>
      <c r="CC21" s="145"/>
      <c r="CD21" s="145"/>
      <c r="CE21" s="145"/>
      <c r="CF21" s="145"/>
      <c r="CG21" s="145"/>
      <c r="CH21" s="145"/>
      <c r="CI21" s="145"/>
      <c r="CJ21" s="145"/>
      <c r="CK21" s="145"/>
      <c r="CL21" s="145"/>
      <c r="CM21" s="145"/>
      <c r="CN21" s="145"/>
      <c r="CO21" s="145"/>
      <c r="CP21" s="145"/>
      <c r="CQ21" s="145"/>
      <c r="CR21" s="145"/>
      <c r="CS21" s="145"/>
    </row>
    <row r="22" spans="1:125" ht="15.75" thickBot="1">
      <c r="A22" s="200"/>
      <c r="B22" s="15" t="s">
        <v>44</v>
      </c>
      <c r="C22" s="33">
        <v>14520.64</v>
      </c>
      <c r="D22" s="34">
        <v>10432.23</v>
      </c>
      <c r="E22" s="34">
        <v>10433</v>
      </c>
      <c r="F22" s="171">
        <v>43196</v>
      </c>
      <c r="G22" s="33">
        <f>IF(E22-D22&lt;0,E22-D22,0)*-1</f>
        <v>0</v>
      </c>
      <c r="H22" s="33">
        <f>IF(E22-D22&gt;0,E22-D22,0)</f>
        <v>0.77000000000043656</v>
      </c>
      <c r="I22" s="34"/>
      <c r="J22" s="34"/>
      <c r="K22" s="34">
        <v>3940.39</v>
      </c>
      <c r="L22" s="34"/>
      <c r="M22" s="36">
        <f t="shared" si="7"/>
        <v>84.718384999999984</v>
      </c>
      <c r="N22" s="36">
        <f t="shared" si="8"/>
        <v>19.70195</v>
      </c>
      <c r="O22" s="36">
        <f t="shared" si="9"/>
        <v>3835.9696649999996</v>
      </c>
      <c r="P22" s="36"/>
      <c r="Q22" s="37"/>
      <c r="R22" s="34"/>
      <c r="S22" s="34"/>
      <c r="T22" s="36"/>
      <c r="U22" s="36"/>
      <c r="V22" s="36"/>
      <c r="W22" s="36"/>
      <c r="X22" s="37"/>
      <c r="Y22" s="34"/>
      <c r="Z22" s="34">
        <f>69+13.5</f>
        <v>82.5</v>
      </c>
      <c r="AA22" s="34">
        <v>24</v>
      </c>
      <c r="AB22" s="34"/>
      <c r="AC22" s="34">
        <v>41.52</v>
      </c>
      <c r="AD22" s="38"/>
      <c r="AE22" s="38"/>
      <c r="AF22" s="34">
        <v>1080.55</v>
      </c>
      <c r="AG22" s="33">
        <f>(AF22*0.8)*0.85</f>
        <v>734.774</v>
      </c>
      <c r="AH22" s="33">
        <f>(AF22*0.8)*0.15</f>
        <v>129.666</v>
      </c>
      <c r="AI22" s="33">
        <f>AF22*0.2</f>
        <v>216.11</v>
      </c>
      <c r="AJ22" s="34">
        <v>0</v>
      </c>
      <c r="AK22" s="33">
        <f>(C22-AF22-AJ22)/1.12</f>
        <v>12000.080357142857</v>
      </c>
      <c r="AL22" s="33">
        <f>AK22-SUM(Y22:AC22)</f>
        <v>11852.060357142856</v>
      </c>
      <c r="AM22" s="33">
        <f>+AL22*0.12</f>
        <v>1422.2472428571427</v>
      </c>
      <c r="AN22" s="33">
        <f>+AM22+AL22+AJ22</f>
        <v>13274.3076</v>
      </c>
      <c r="AO22" s="39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33">
        <f>SUM(AO22:AY22)</f>
        <v>0</v>
      </c>
      <c r="BA22" s="38"/>
      <c r="BB22" s="38"/>
      <c r="BC22" s="33">
        <v>0</v>
      </c>
      <c r="BD22" s="33">
        <v>0</v>
      </c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41">
        <f>AZ22+BA22+BB22+BD22-BC22</f>
        <v>0</v>
      </c>
      <c r="BT22" s="146"/>
      <c r="BU22" s="145"/>
      <c r="BV22" s="145"/>
      <c r="BW22" s="145"/>
      <c r="BX22" s="145"/>
      <c r="BY22" s="145"/>
      <c r="BZ22" s="145"/>
      <c r="CA22" s="145"/>
      <c r="CB22" s="145"/>
      <c r="CC22" s="145"/>
      <c r="CD22" s="145"/>
      <c r="CE22" s="145"/>
      <c r="CF22" s="145"/>
      <c r="CG22" s="145"/>
      <c r="CH22" s="145"/>
      <c r="CI22" s="145"/>
      <c r="CJ22" s="145"/>
      <c r="CK22" s="145"/>
      <c r="CL22" s="145"/>
      <c r="CM22" s="145"/>
      <c r="CN22" s="145"/>
      <c r="CO22" s="145"/>
      <c r="CP22" s="145"/>
      <c r="CQ22" s="145"/>
      <c r="CR22" s="145"/>
      <c r="CS22" s="145"/>
    </row>
    <row r="23" spans="1:125" ht="15.75" thickBot="1">
      <c r="A23" s="42"/>
      <c r="B23" s="43"/>
      <c r="C23" s="44">
        <f>SUBTOTAL(9,C21:C22)</f>
        <v>35826.009999999995</v>
      </c>
      <c r="D23" s="45">
        <f>SUBTOTAL(9,D21:D22)</f>
        <v>24406.19</v>
      </c>
      <c r="E23" s="45">
        <f>SUBTOTAL(9,E21:E22)</f>
        <v>24408</v>
      </c>
      <c r="F23" s="172"/>
      <c r="G23" s="45">
        <f t="shared" ref="G23:P23" si="23">SUBTOTAL(9,G21:G22)</f>
        <v>0</v>
      </c>
      <c r="H23" s="45">
        <f t="shared" si="23"/>
        <v>1.8100000000013097</v>
      </c>
      <c r="I23" s="45">
        <f t="shared" si="23"/>
        <v>0</v>
      </c>
      <c r="J23" s="45">
        <f t="shared" si="23"/>
        <v>0</v>
      </c>
      <c r="K23" s="162">
        <f t="shared" si="23"/>
        <v>10889.22</v>
      </c>
      <c r="L23" s="45">
        <f t="shared" si="23"/>
        <v>0</v>
      </c>
      <c r="M23" s="46">
        <f t="shared" si="23"/>
        <v>234.11822999999998</v>
      </c>
      <c r="N23" s="46">
        <f t="shared" si="23"/>
        <v>54.446100000000001</v>
      </c>
      <c r="O23" s="46">
        <f t="shared" si="23"/>
        <v>10600.65567</v>
      </c>
      <c r="P23" s="46">
        <f t="shared" si="23"/>
        <v>0</v>
      </c>
      <c r="Q23" s="47"/>
      <c r="R23" s="45">
        <f t="shared" ref="R23:BQ23" si="24">SUBTOTAL(9,R21:R22)</f>
        <v>0</v>
      </c>
      <c r="S23" s="45">
        <f t="shared" si="24"/>
        <v>0</v>
      </c>
      <c r="T23" s="46">
        <f t="shared" si="24"/>
        <v>0</v>
      </c>
      <c r="U23" s="46">
        <f t="shared" si="24"/>
        <v>0</v>
      </c>
      <c r="V23" s="46">
        <f t="shared" si="24"/>
        <v>0</v>
      </c>
      <c r="W23" s="46">
        <f t="shared" si="24"/>
        <v>0</v>
      </c>
      <c r="X23" s="47"/>
      <c r="Y23" s="45">
        <f>SUBTOTAL(9,Y21:Y22)</f>
        <v>0</v>
      </c>
      <c r="Z23" s="45"/>
      <c r="AA23" s="45"/>
      <c r="AB23" s="45"/>
      <c r="AC23" s="45"/>
      <c r="AD23" s="48"/>
      <c r="AE23" s="48"/>
      <c r="AF23" s="45"/>
      <c r="AG23" s="44">
        <f t="shared" si="24"/>
        <v>1879.7307999999998</v>
      </c>
      <c r="AH23" s="44">
        <f t="shared" si="24"/>
        <v>331.71719999999999</v>
      </c>
      <c r="AI23" s="44">
        <f t="shared" si="24"/>
        <v>552.86200000000008</v>
      </c>
      <c r="AJ23" s="45">
        <v>0</v>
      </c>
      <c r="AK23" s="44">
        <v>0</v>
      </c>
      <c r="AL23" s="44">
        <v>0</v>
      </c>
      <c r="AM23" s="44">
        <v>0</v>
      </c>
      <c r="AN23" s="44">
        <f t="shared" si="12"/>
        <v>0</v>
      </c>
      <c r="AO23" s="49">
        <f t="shared" si="24"/>
        <v>0</v>
      </c>
      <c r="AP23" s="49">
        <f t="shared" si="24"/>
        <v>0</v>
      </c>
      <c r="AQ23" s="49">
        <f t="shared" si="24"/>
        <v>0</v>
      </c>
      <c r="AR23" s="49">
        <f t="shared" si="24"/>
        <v>0</v>
      </c>
      <c r="AS23" s="49">
        <f t="shared" si="24"/>
        <v>0</v>
      </c>
      <c r="AT23" s="49">
        <f t="shared" si="24"/>
        <v>0</v>
      </c>
      <c r="AU23" s="49">
        <f>SUBTOTAL(9,AU21:AU22)</f>
        <v>0</v>
      </c>
      <c r="AV23" s="49">
        <f t="shared" si="24"/>
        <v>0</v>
      </c>
      <c r="AW23" s="49">
        <f t="shared" si="24"/>
        <v>0</v>
      </c>
      <c r="AX23" s="49">
        <f t="shared" si="24"/>
        <v>0</v>
      </c>
      <c r="AY23" s="49">
        <f t="shared" si="24"/>
        <v>0</v>
      </c>
      <c r="AZ23" s="44">
        <f t="shared" si="24"/>
        <v>0</v>
      </c>
      <c r="BA23" s="48"/>
      <c r="BB23" s="48">
        <f t="shared" si="24"/>
        <v>0</v>
      </c>
      <c r="BC23" s="44">
        <f t="shared" si="24"/>
        <v>0</v>
      </c>
      <c r="BD23" s="44">
        <f t="shared" si="24"/>
        <v>0</v>
      </c>
      <c r="BE23" s="49">
        <f t="shared" si="24"/>
        <v>0</v>
      </c>
      <c r="BF23" s="49">
        <f>SUBTOTAL(9,BF21:BF22)</f>
        <v>0</v>
      </c>
      <c r="BG23" s="49">
        <f t="shared" si="24"/>
        <v>0</v>
      </c>
      <c r="BH23" s="49">
        <f t="shared" si="24"/>
        <v>0</v>
      </c>
      <c r="BI23" s="49">
        <f t="shared" si="24"/>
        <v>0</v>
      </c>
      <c r="BJ23" s="49">
        <f t="shared" si="24"/>
        <v>0</v>
      </c>
      <c r="BK23" s="49">
        <f t="shared" si="24"/>
        <v>0</v>
      </c>
      <c r="BL23" s="49">
        <f t="shared" si="24"/>
        <v>0</v>
      </c>
      <c r="BM23" s="49">
        <f t="shared" si="24"/>
        <v>0</v>
      </c>
      <c r="BN23" s="49">
        <f t="shared" si="24"/>
        <v>0</v>
      </c>
      <c r="BO23" s="49">
        <f t="shared" si="24"/>
        <v>0</v>
      </c>
      <c r="BP23" s="49">
        <f t="shared" si="24"/>
        <v>0</v>
      </c>
      <c r="BQ23" s="49">
        <f t="shared" si="24"/>
        <v>0</v>
      </c>
      <c r="BR23" s="44">
        <f>SUBTOTAL(9,BR21:BR22)</f>
        <v>0</v>
      </c>
    </row>
    <row r="24" spans="1:125">
      <c r="A24" s="199">
        <f>A21+1</f>
        <v>43165</v>
      </c>
      <c r="B24" s="32" t="s">
        <v>43</v>
      </c>
      <c r="C24" s="33">
        <v>33193.26</v>
      </c>
      <c r="D24" s="34">
        <v>27006.21</v>
      </c>
      <c r="E24" s="34">
        <v>27010</v>
      </c>
      <c r="F24" s="171">
        <v>43196</v>
      </c>
      <c r="G24" s="33">
        <f>IF(E24-D24&lt;0,E24-D24,0)*-1</f>
        <v>0</v>
      </c>
      <c r="H24" s="33">
        <f>IF(E24-D24&gt;0,E24-D24,0)</f>
        <v>3.7900000000008731</v>
      </c>
      <c r="I24" s="34"/>
      <c r="J24" s="34"/>
      <c r="K24" s="34">
        <v>6072.77</v>
      </c>
      <c r="L24" s="34"/>
      <c r="M24" s="36">
        <f>(+K24)*M$5</f>
        <v>130.56455500000001</v>
      </c>
      <c r="N24" s="36">
        <f>(+K24)*N$5</f>
        <v>30.363850000000003</v>
      </c>
      <c r="O24" s="36">
        <f>+K24-M24-N24+P24</f>
        <v>5911.8415950000008</v>
      </c>
      <c r="P24" s="36"/>
      <c r="Q24" s="37"/>
      <c r="R24" s="34"/>
      <c r="S24" s="34"/>
      <c r="T24" s="36"/>
      <c r="U24" s="36"/>
      <c r="V24" s="36"/>
      <c r="W24" s="36"/>
      <c r="X24" s="37"/>
      <c r="Y24" s="34"/>
      <c r="Z24" s="34"/>
      <c r="AA24" s="34"/>
      <c r="AB24" s="34"/>
      <c r="AC24" s="34">
        <v>114.28</v>
      </c>
      <c r="AD24" s="38"/>
      <c r="AE24" s="38"/>
      <c r="AF24" s="34">
        <v>2695.84</v>
      </c>
      <c r="AG24" s="33">
        <f>(AF24*0.8)*0.85</f>
        <v>1833.1712</v>
      </c>
      <c r="AH24" s="33">
        <f>(AF24*0.8)*0.15</f>
        <v>323.50079999999997</v>
      </c>
      <c r="AI24" s="33">
        <f>AF24*0.2</f>
        <v>539.16800000000001</v>
      </c>
      <c r="AJ24" s="34">
        <v>0</v>
      </c>
      <c r="AK24" s="33">
        <f>(C24-AF24-AJ24)/1.12</f>
        <v>27229.839285714286</v>
      </c>
      <c r="AL24" s="33">
        <f>AK24-SUM(Y24:AC24)</f>
        <v>27115.559285714287</v>
      </c>
      <c r="AM24" s="33">
        <f>+AL24*0.12</f>
        <v>3253.8671142857143</v>
      </c>
      <c r="AN24" s="33">
        <f>+AM24+AL24+AJ24</f>
        <v>30369.4264</v>
      </c>
      <c r="AO24" s="39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33">
        <f>SUM(AO24:AY24)</f>
        <v>0</v>
      </c>
      <c r="BA24" s="38"/>
      <c r="BB24" s="38"/>
      <c r="BC24" s="33">
        <f>SUM(BE24:BM24)*0.1+(BN24*0.5)</f>
        <v>0</v>
      </c>
      <c r="BD24" s="33">
        <f>SUM(BE24:BM24)+(BN24*0.5)</f>
        <v>0</v>
      </c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41">
        <f>AZ24+BA24+BB24+BD24-BC24</f>
        <v>0</v>
      </c>
      <c r="BT24" s="146"/>
      <c r="BU24" s="145"/>
      <c r="BV24" s="145"/>
      <c r="BW24" s="145"/>
      <c r="BX24" s="145"/>
      <c r="BY24" s="145"/>
      <c r="BZ24" s="145"/>
      <c r="CA24" s="145"/>
      <c r="CB24" s="145"/>
      <c r="CC24" s="145"/>
      <c r="CD24" s="145"/>
      <c r="CE24" s="145"/>
      <c r="CF24" s="145"/>
      <c r="CG24" s="145"/>
      <c r="CH24" s="145"/>
      <c r="CI24" s="145"/>
      <c r="CJ24" s="145"/>
      <c r="CK24" s="145"/>
      <c r="CL24" s="145"/>
      <c r="CM24" s="145"/>
      <c r="CN24" s="145"/>
      <c r="CO24" s="145"/>
      <c r="CP24" s="145"/>
      <c r="CQ24" s="145"/>
      <c r="CR24" s="145"/>
      <c r="CS24" s="145"/>
    </row>
    <row r="25" spans="1:125" ht="15.75" thickBot="1">
      <c r="A25" s="200"/>
      <c r="B25" s="15" t="s">
        <v>44</v>
      </c>
      <c r="C25" s="33">
        <v>24619.39</v>
      </c>
      <c r="D25" s="34">
        <v>20698.79</v>
      </c>
      <c r="E25" s="34">
        <v>20700</v>
      </c>
      <c r="F25" s="171">
        <v>43197</v>
      </c>
      <c r="G25" s="33">
        <f>IF(E25-D25&lt;0,E25-D25,0)*-1</f>
        <v>0</v>
      </c>
      <c r="H25" s="33">
        <f>IF(E25-D25&gt;0,E25-D25,0)</f>
        <v>1.2099999999991269</v>
      </c>
      <c r="I25" s="34"/>
      <c r="J25" s="34"/>
      <c r="K25" s="34">
        <v>3807.05</v>
      </c>
      <c r="L25" s="34"/>
      <c r="M25" s="36">
        <f>(+K25)*M$5</f>
        <v>81.851574999999997</v>
      </c>
      <c r="N25" s="36">
        <f>(+K25)*N$5</f>
        <v>19.035250000000001</v>
      </c>
      <c r="O25" s="36">
        <f>+K25-M25-N25+P25</f>
        <v>3706.1631750000001</v>
      </c>
      <c r="P25" s="36"/>
      <c r="Q25" s="37"/>
      <c r="R25" s="34"/>
      <c r="S25" s="34"/>
      <c r="T25" s="36"/>
      <c r="U25" s="36"/>
      <c r="V25" s="36"/>
      <c r="W25" s="36"/>
      <c r="X25" s="37"/>
      <c r="Y25" s="34"/>
      <c r="Z25" s="34">
        <v>45.25</v>
      </c>
      <c r="AA25" s="34"/>
      <c r="AB25" s="34"/>
      <c r="AC25" s="34">
        <v>68.3</v>
      </c>
      <c r="AD25" s="38"/>
      <c r="AE25" s="38"/>
      <c r="AF25" s="34">
        <v>1936.37</v>
      </c>
      <c r="AG25" s="33">
        <f>(AF25*0.8)*0.85</f>
        <v>1316.7316000000001</v>
      </c>
      <c r="AH25" s="33">
        <f>(AF25*0.8)*0.15</f>
        <v>232.36439999999999</v>
      </c>
      <c r="AI25" s="33">
        <f>AF25*0.2</f>
        <v>387.274</v>
      </c>
      <c r="AJ25" s="34">
        <v>0</v>
      </c>
      <c r="AK25" s="33">
        <f>(C25-AF25-AJ25)/1.12</f>
        <v>20252.696428571428</v>
      </c>
      <c r="AL25" s="33">
        <f>AK25-SUM(Y25:AC25)</f>
        <v>20139.146428571428</v>
      </c>
      <c r="AM25" s="33">
        <f>+AL25*0.12</f>
        <v>2416.6975714285713</v>
      </c>
      <c r="AN25" s="33">
        <f>+AM25+AL25+AJ25</f>
        <v>22555.844000000001</v>
      </c>
      <c r="AO25" s="39"/>
      <c r="AP25" s="40"/>
      <c r="AQ25" s="40">
        <v>0</v>
      </c>
      <c r="AR25" s="40">
        <v>450</v>
      </c>
      <c r="AS25" s="40"/>
      <c r="AT25" s="40"/>
      <c r="AU25" s="40"/>
      <c r="AV25" s="40"/>
      <c r="AW25" s="40"/>
      <c r="AX25" s="40"/>
      <c r="AY25" s="40"/>
      <c r="AZ25" s="33"/>
      <c r="BA25" s="38">
        <v>180</v>
      </c>
      <c r="BB25" s="38"/>
      <c r="BC25" s="33">
        <f>SUM(BE25:BM25)*0.1+(BN25*0.5)</f>
        <v>0</v>
      </c>
      <c r="BD25" s="33">
        <f>SUM(BE25:BM25)+(BN25*0.5)</f>
        <v>0</v>
      </c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41">
        <f>AZ25+BA25+BB25+BD25-BC25</f>
        <v>180</v>
      </c>
      <c r="BT25" s="146"/>
      <c r="BU25" s="145"/>
      <c r="BV25" s="145"/>
      <c r="BW25" s="145"/>
      <c r="BX25" s="145"/>
      <c r="BY25" s="145"/>
      <c r="BZ25" s="145"/>
      <c r="CA25" s="145"/>
      <c r="CB25" s="145"/>
      <c r="CC25" s="145"/>
      <c r="CD25" s="145"/>
      <c r="CE25" s="145"/>
      <c r="CF25" s="145"/>
      <c r="CG25" s="145"/>
      <c r="CH25" s="145"/>
      <c r="CI25" s="145"/>
      <c r="CJ25" s="145"/>
      <c r="CK25" s="145"/>
      <c r="CL25" s="145"/>
      <c r="CM25" s="145"/>
      <c r="CN25" s="145"/>
      <c r="CO25" s="145"/>
      <c r="CP25" s="145"/>
      <c r="CQ25" s="145"/>
      <c r="CR25" s="145"/>
      <c r="CS25" s="145"/>
    </row>
    <row r="26" spans="1:125" ht="15.75" thickBot="1">
      <c r="A26" s="42"/>
      <c r="B26" s="43"/>
      <c r="C26" s="44">
        <f>SUBTOTAL(9,C24:C25)</f>
        <v>57812.65</v>
      </c>
      <c r="D26" s="45">
        <f>SUBTOTAL(9,D24:D25)</f>
        <v>47705</v>
      </c>
      <c r="E26" s="45">
        <f>SUBTOTAL(9,E24:E25)</f>
        <v>47710</v>
      </c>
      <c r="F26" s="172"/>
      <c r="G26" s="45">
        <f t="shared" ref="G26:P26" si="25">SUBTOTAL(9,G24:G25)</f>
        <v>0</v>
      </c>
      <c r="H26" s="45">
        <f t="shared" si="25"/>
        <v>5</v>
      </c>
      <c r="I26" s="45">
        <f t="shared" si="25"/>
        <v>0</v>
      </c>
      <c r="J26" s="45">
        <f t="shared" si="25"/>
        <v>0</v>
      </c>
      <c r="K26" s="45"/>
      <c r="L26" s="45">
        <f t="shared" si="25"/>
        <v>0</v>
      </c>
      <c r="M26" s="46">
        <f t="shared" si="25"/>
        <v>212.41613000000001</v>
      </c>
      <c r="N26" s="46">
        <f t="shared" si="25"/>
        <v>49.399100000000004</v>
      </c>
      <c r="O26" s="46">
        <f t="shared" si="25"/>
        <v>9618.0047700000014</v>
      </c>
      <c r="P26" s="46">
        <f t="shared" si="25"/>
        <v>0</v>
      </c>
      <c r="Q26" s="47"/>
      <c r="R26" s="45">
        <f t="shared" ref="R26:BQ26" si="26">SUBTOTAL(9,R24:R25)</f>
        <v>0</v>
      </c>
      <c r="S26" s="45">
        <f t="shared" si="26"/>
        <v>0</v>
      </c>
      <c r="T26" s="46">
        <f t="shared" si="26"/>
        <v>0</v>
      </c>
      <c r="U26" s="46">
        <f t="shared" si="26"/>
        <v>0</v>
      </c>
      <c r="V26" s="46">
        <f t="shared" si="26"/>
        <v>0</v>
      </c>
      <c r="W26" s="46">
        <f t="shared" si="26"/>
        <v>0</v>
      </c>
      <c r="X26" s="47"/>
      <c r="Y26" s="45">
        <f>SUBTOTAL(9,Y24:Y25)</f>
        <v>0</v>
      </c>
      <c r="Z26" s="45"/>
      <c r="AA26" s="45"/>
      <c r="AB26" s="45"/>
      <c r="AC26" s="45"/>
      <c r="AD26" s="48"/>
      <c r="AE26" s="48"/>
      <c r="AF26" s="45"/>
      <c r="AG26" s="44">
        <f t="shared" si="26"/>
        <v>3149.9027999999998</v>
      </c>
      <c r="AH26" s="44">
        <f t="shared" si="26"/>
        <v>555.86519999999996</v>
      </c>
      <c r="AI26" s="44">
        <f t="shared" si="26"/>
        <v>926.44200000000001</v>
      </c>
      <c r="AJ26" s="45">
        <v>0</v>
      </c>
      <c r="AK26" s="44">
        <f t="shared" si="26"/>
        <v>47482.53571428571</v>
      </c>
      <c r="AL26" s="44">
        <f t="shared" si="26"/>
        <v>47254.705714285716</v>
      </c>
      <c r="AM26" s="44">
        <f t="shared" si="26"/>
        <v>5670.5646857142856</v>
      </c>
      <c r="AN26" s="44">
        <f t="shared" si="12"/>
        <v>52925.270400000001</v>
      </c>
      <c r="AO26" s="49">
        <f t="shared" si="26"/>
        <v>0</v>
      </c>
      <c r="AP26" s="49">
        <f t="shared" si="26"/>
        <v>0</v>
      </c>
      <c r="AQ26" s="49">
        <f t="shared" si="26"/>
        <v>0</v>
      </c>
      <c r="AR26" s="49">
        <f t="shared" si="26"/>
        <v>450</v>
      </c>
      <c r="AS26" s="49">
        <f t="shared" si="26"/>
        <v>0</v>
      </c>
      <c r="AT26" s="49">
        <f t="shared" si="26"/>
        <v>0</v>
      </c>
      <c r="AU26" s="49">
        <f>SUBTOTAL(9,AU24:AU25)</f>
        <v>0</v>
      </c>
      <c r="AV26" s="49">
        <f t="shared" si="26"/>
        <v>0</v>
      </c>
      <c r="AW26" s="49">
        <f t="shared" si="26"/>
        <v>0</v>
      </c>
      <c r="AX26" s="49">
        <f t="shared" si="26"/>
        <v>0</v>
      </c>
      <c r="AY26" s="49">
        <f t="shared" si="26"/>
        <v>0</v>
      </c>
      <c r="AZ26" s="44">
        <f t="shared" si="26"/>
        <v>0</v>
      </c>
      <c r="BA26" s="48">
        <f t="shared" si="26"/>
        <v>180</v>
      </c>
      <c r="BB26" s="48">
        <f t="shared" si="26"/>
        <v>0</v>
      </c>
      <c r="BC26" s="44">
        <f t="shared" si="26"/>
        <v>0</v>
      </c>
      <c r="BD26" s="44">
        <f t="shared" si="26"/>
        <v>0</v>
      </c>
      <c r="BE26" s="49">
        <f t="shared" si="26"/>
        <v>0</v>
      </c>
      <c r="BF26" s="49">
        <f>SUBTOTAL(9,BF24:BF25)</f>
        <v>0</v>
      </c>
      <c r="BG26" s="49">
        <f t="shared" si="26"/>
        <v>0</v>
      </c>
      <c r="BH26" s="49">
        <f t="shared" si="26"/>
        <v>0</v>
      </c>
      <c r="BI26" s="49">
        <f t="shared" si="26"/>
        <v>0</v>
      </c>
      <c r="BJ26" s="49">
        <f t="shared" si="26"/>
        <v>0</v>
      </c>
      <c r="BK26" s="49">
        <f t="shared" si="26"/>
        <v>0</v>
      </c>
      <c r="BL26" s="49">
        <f t="shared" si="26"/>
        <v>0</v>
      </c>
      <c r="BM26" s="49">
        <f t="shared" si="26"/>
        <v>0</v>
      </c>
      <c r="BN26" s="49">
        <f t="shared" si="26"/>
        <v>0</v>
      </c>
      <c r="BO26" s="49">
        <f t="shared" si="26"/>
        <v>0</v>
      </c>
      <c r="BP26" s="49">
        <f t="shared" si="26"/>
        <v>0</v>
      </c>
      <c r="BQ26" s="49">
        <f t="shared" si="26"/>
        <v>0</v>
      </c>
      <c r="BR26" s="44">
        <f>SUBTOTAL(9,BR24:BR25)</f>
        <v>180</v>
      </c>
    </row>
    <row r="27" spans="1:125">
      <c r="A27" s="199">
        <f>+A24+1</f>
        <v>43166</v>
      </c>
      <c r="B27" s="32" t="s">
        <v>43</v>
      </c>
      <c r="C27" s="33" t="s">
        <v>157</v>
      </c>
      <c r="D27" s="34"/>
      <c r="E27" s="34"/>
      <c r="F27" s="171"/>
      <c r="G27" s="33">
        <f>IF(E27-D27&lt;0,E27-D27,0)*-1</f>
        <v>0</v>
      </c>
      <c r="H27" s="33">
        <f>IF(E27-D27&gt;0,E27-D27,0)</f>
        <v>0</v>
      </c>
      <c r="I27" s="34"/>
      <c r="J27" s="34"/>
      <c r="K27" s="34"/>
      <c r="L27" s="34"/>
      <c r="M27" s="36">
        <f>(+K27)*M$5</f>
        <v>0</v>
      </c>
      <c r="N27" s="36">
        <f>(+K27)*N$5</f>
        <v>0</v>
      </c>
      <c r="O27" s="36">
        <f>+K27-M27-N27+P27</f>
        <v>0</v>
      </c>
      <c r="P27" s="36"/>
      <c r="Q27" s="37"/>
      <c r="R27" s="34"/>
      <c r="S27" s="34"/>
      <c r="T27" s="36"/>
      <c r="U27" s="36"/>
      <c r="V27" s="36"/>
      <c r="W27" s="36"/>
      <c r="X27" s="37"/>
      <c r="Y27" s="34"/>
      <c r="Z27" s="34"/>
      <c r="AA27" s="34"/>
      <c r="AB27" s="34"/>
      <c r="AC27" s="34"/>
      <c r="AD27" s="38"/>
      <c r="AE27" s="38"/>
      <c r="AF27" s="34"/>
      <c r="AG27" s="33">
        <f>(AF27*0.8)*0.85</f>
        <v>0</v>
      </c>
      <c r="AH27" s="33">
        <f>(AF27*0.8)*0.15</f>
        <v>0</v>
      </c>
      <c r="AI27" s="33">
        <f>AF27*0.2</f>
        <v>0</v>
      </c>
      <c r="AJ27" s="34">
        <v>0</v>
      </c>
      <c r="AK27" s="33">
        <v>0</v>
      </c>
      <c r="AL27" s="33">
        <f>AK27-SUM(Y27:AC27)</f>
        <v>0</v>
      </c>
      <c r="AM27" s="33">
        <f>+AL27*0.12</f>
        <v>0</v>
      </c>
      <c r="AN27" s="33">
        <f>+AM27+AL27+AJ27</f>
        <v>0</v>
      </c>
      <c r="AO27" s="39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33">
        <f>SUM(AO27:AY27)</f>
        <v>0</v>
      </c>
      <c r="BA27" s="38"/>
      <c r="BB27" s="38"/>
      <c r="BC27" s="33">
        <f>SUM(BE27:BM27)*0.1+(BN27*0.5)</f>
        <v>0</v>
      </c>
      <c r="BD27" s="33">
        <f>SUM(BE27:BM27)+(BN27*0.5)</f>
        <v>0</v>
      </c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41">
        <f>AZ27+BA27+BB27+BD27-BC27</f>
        <v>0</v>
      </c>
      <c r="BT27" s="146"/>
      <c r="BU27" s="145"/>
      <c r="BV27" s="145"/>
      <c r="BW27" s="145"/>
      <c r="BX27" s="145"/>
      <c r="BY27" s="145"/>
      <c r="BZ27" s="145"/>
      <c r="CA27" s="145"/>
      <c r="CB27" s="145"/>
      <c r="CC27" s="145"/>
      <c r="CD27" s="145"/>
      <c r="CE27" s="145"/>
      <c r="CF27" s="145"/>
      <c r="CG27" s="145"/>
      <c r="CH27" s="145"/>
      <c r="CI27" s="145"/>
      <c r="CJ27" s="145"/>
      <c r="CK27" s="145"/>
      <c r="CL27" s="145"/>
      <c r="CM27" s="145"/>
      <c r="CN27" s="145"/>
      <c r="CO27" s="145"/>
      <c r="CP27" s="145"/>
      <c r="CQ27" s="145"/>
      <c r="CR27" s="145"/>
      <c r="CS27" s="145"/>
    </row>
    <row r="28" spans="1:125" ht="15.75" thickBot="1">
      <c r="A28" s="200"/>
      <c r="B28" s="15" t="s">
        <v>44</v>
      </c>
      <c r="C28" s="33">
        <v>34682.86</v>
      </c>
      <c r="D28" s="34">
        <v>34682.86</v>
      </c>
      <c r="E28" s="34">
        <v>34683</v>
      </c>
      <c r="F28" s="171">
        <v>43200</v>
      </c>
      <c r="G28" s="33">
        <f>IF(E28-D28&lt;0,E28-D28,0)*-1</f>
        <v>0</v>
      </c>
      <c r="H28" s="33">
        <f>IF(E28-D28&gt;0,E28-D28,0)</f>
        <v>0.13999999999941792</v>
      </c>
      <c r="I28" s="34"/>
      <c r="J28" s="34"/>
      <c r="K28" s="34"/>
      <c r="L28" s="34"/>
      <c r="M28" s="36">
        <f>(+K28)*M$5</f>
        <v>0</v>
      </c>
      <c r="N28" s="36">
        <f>(+K28)*N$5</f>
        <v>0</v>
      </c>
      <c r="O28" s="36">
        <f>+K28-M28-N28+P28</f>
        <v>0</v>
      </c>
      <c r="P28" s="36"/>
      <c r="Q28" s="37"/>
      <c r="R28" s="34"/>
      <c r="S28" s="34"/>
      <c r="T28" s="36"/>
      <c r="U28" s="36"/>
      <c r="V28" s="36"/>
      <c r="W28" s="36"/>
      <c r="X28" s="37"/>
      <c r="Y28" s="34"/>
      <c r="Z28" s="34"/>
      <c r="AA28" s="34"/>
      <c r="AB28" s="34"/>
      <c r="AC28" s="34"/>
      <c r="AD28" s="38"/>
      <c r="AE28" s="38"/>
      <c r="AF28" s="34">
        <v>2842.86</v>
      </c>
      <c r="AG28" s="33">
        <f>(AF28*0.8)*0.85</f>
        <v>1933.1448</v>
      </c>
      <c r="AH28" s="33">
        <f>(AF28*0.8)*0.15</f>
        <v>341.14319999999998</v>
      </c>
      <c r="AI28" s="33">
        <f>AF28*0.2</f>
        <v>568.572</v>
      </c>
      <c r="AJ28" s="34">
        <v>0</v>
      </c>
      <c r="AK28" s="33">
        <f>(C28-AF28-AJ28)/1.12</f>
        <v>28428.571428571428</v>
      </c>
      <c r="AL28" s="33">
        <f>AK28-SUM(Y28:AC28)</f>
        <v>28428.571428571428</v>
      </c>
      <c r="AM28" s="33">
        <f>+AL28*0.12</f>
        <v>3411.4285714285711</v>
      </c>
      <c r="AN28" s="33">
        <f>+AM28+AL28+AJ28</f>
        <v>31840</v>
      </c>
      <c r="AO28" s="39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33">
        <f>SUM(AO28:AY28)</f>
        <v>0</v>
      </c>
      <c r="BA28" s="38"/>
      <c r="BB28" s="38"/>
      <c r="BC28" s="33">
        <v>0</v>
      </c>
      <c r="BD28" s="33">
        <f>SUM(BE28:BM28)+(BN28*0.5)</f>
        <v>0</v>
      </c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41">
        <f>AZ28+BA28+BB28+BD28-BC28</f>
        <v>0</v>
      </c>
      <c r="BT28" s="146"/>
      <c r="BU28" s="145"/>
      <c r="BV28" s="145"/>
      <c r="BW28" s="145"/>
      <c r="BX28" s="145"/>
      <c r="BY28" s="145"/>
      <c r="BZ28" s="145"/>
      <c r="CA28" s="145"/>
      <c r="CB28" s="145"/>
      <c r="CC28" s="145"/>
      <c r="CD28" s="145"/>
      <c r="CE28" s="145"/>
      <c r="CF28" s="145"/>
      <c r="CG28" s="145"/>
      <c r="CH28" s="145"/>
      <c r="CI28" s="145"/>
      <c r="CJ28" s="145"/>
      <c r="CK28" s="145"/>
      <c r="CL28" s="145"/>
      <c r="CM28" s="145"/>
      <c r="CN28" s="145"/>
      <c r="CO28" s="145"/>
      <c r="CP28" s="145"/>
      <c r="CQ28" s="145"/>
      <c r="CR28" s="145"/>
      <c r="CS28" s="145"/>
    </row>
    <row r="29" spans="1:125" ht="15.75" thickBot="1">
      <c r="A29" s="42"/>
      <c r="B29" s="43"/>
      <c r="C29" s="44">
        <f>SUBTOTAL(9,C27:C28)</f>
        <v>34682.86</v>
      </c>
      <c r="D29" s="45">
        <f>SUBTOTAL(9,D27:D28)</f>
        <v>34682.86</v>
      </c>
      <c r="E29" s="45">
        <f>SUBTOTAL(9,E27:E28)</f>
        <v>34683</v>
      </c>
      <c r="F29" s="172"/>
      <c r="G29" s="45">
        <f t="shared" ref="G29:P29" si="27">SUBTOTAL(9,G27:G28)</f>
        <v>0</v>
      </c>
      <c r="H29" s="45">
        <f t="shared" si="27"/>
        <v>0.13999999999941792</v>
      </c>
      <c r="I29" s="45">
        <f t="shared" si="27"/>
        <v>0</v>
      </c>
      <c r="J29" s="45">
        <f t="shared" si="27"/>
        <v>0</v>
      </c>
      <c r="K29" s="162">
        <f t="shared" si="27"/>
        <v>0</v>
      </c>
      <c r="L29" s="45">
        <f t="shared" si="27"/>
        <v>0</v>
      </c>
      <c r="M29" s="46">
        <f t="shared" si="27"/>
        <v>0</v>
      </c>
      <c r="N29" s="46">
        <f t="shared" si="27"/>
        <v>0</v>
      </c>
      <c r="O29" s="46">
        <f t="shared" si="27"/>
        <v>0</v>
      </c>
      <c r="P29" s="46">
        <f t="shared" si="27"/>
        <v>0</v>
      </c>
      <c r="Q29" s="47"/>
      <c r="R29" s="45">
        <f t="shared" ref="R29:BQ29" si="28">SUBTOTAL(9,R27:R28)</f>
        <v>0</v>
      </c>
      <c r="S29" s="45">
        <f t="shared" si="28"/>
        <v>0</v>
      </c>
      <c r="T29" s="46">
        <f t="shared" si="28"/>
        <v>0</v>
      </c>
      <c r="U29" s="46">
        <f t="shared" si="28"/>
        <v>0</v>
      </c>
      <c r="V29" s="46">
        <f t="shared" si="28"/>
        <v>0</v>
      </c>
      <c r="W29" s="46">
        <f t="shared" si="28"/>
        <v>0</v>
      </c>
      <c r="X29" s="47"/>
      <c r="Y29" s="45">
        <f>SUBTOTAL(9,Y27:Y28)</f>
        <v>0</v>
      </c>
      <c r="Z29" s="45"/>
      <c r="AA29" s="45"/>
      <c r="AB29" s="45"/>
      <c r="AC29" s="45"/>
      <c r="AD29" s="48"/>
      <c r="AE29" s="48"/>
      <c r="AF29" s="45"/>
      <c r="AG29" s="44">
        <f t="shared" si="28"/>
        <v>1933.1448</v>
      </c>
      <c r="AH29" s="44">
        <f t="shared" si="28"/>
        <v>341.14319999999998</v>
      </c>
      <c r="AI29" s="44">
        <f t="shared" si="28"/>
        <v>568.572</v>
      </c>
      <c r="AJ29" s="45">
        <f t="shared" si="28"/>
        <v>0</v>
      </c>
      <c r="AK29" s="44">
        <f t="shared" si="28"/>
        <v>28428.571428571428</v>
      </c>
      <c r="AL29" s="44">
        <f t="shared" si="28"/>
        <v>28428.571428571428</v>
      </c>
      <c r="AM29" s="44">
        <f t="shared" si="28"/>
        <v>3411.4285714285711</v>
      </c>
      <c r="AN29" s="44">
        <f t="shared" si="12"/>
        <v>31840</v>
      </c>
      <c r="AO29" s="49">
        <f t="shared" si="28"/>
        <v>0</v>
      </c>
      <c r="AP29" s="49">
        <f t="shared" si="28"/>
        <v>0</v>
      </c>
      <c r="AQ29" s="49">
        <f t="shared" si="28"/>
        <v>0</v>
      </c>
      <c r="AR29" s="49">
        <f t="shared" si="28"/>
        <v>0</v>
      </c>
      <c r="AS29" s="49">
        <f t="shared" si="28"/>
        <v>0</v>
      </c>
      <c r="AT29" s="49">
        <f t="shared" si="28"/>
        <v>0</v>
      </c>
      <c r="AU29" s="49">
        <f>SUBTOTAL(9,AU27:AU28)</f>
        <v>0</v>
      </c>
      <c r="AV29" s="49">
        <f t="shared" si="28"/>
        <v>0</v>
      </c>
      <c r="AW29" s="49">
        <f t="shared" si="28"/>
        <v>0</v>
      </c>
      <c r="AX29" s="49">
        <f t="shared" si="28"/>
        <v>0</v>
      </c>
      <c r="AY29" s="49">
        <f t="shared" si="28"/>
        <v>0</v>
      </c>
      <c r="AZ29" s="44">
        <f t="shared" si="28"/>
        <v>0</v>
      </c>
      <c r="BA29" s="48">
        <f t="shared" si="28"/>
        <v>0</v>
      </c>
      <c r="BB29" s="48">
        <f t="shared" si="28"/>
        <v>0</v>
      </c>
      <c r="BC29" s="44">
        <f t="shared" si="28"/>
        <v>0</v>
      </c>
      <c r="BD29" s="44">
        <f t="shared" si="28"/>
        <v>0</v>
      </c>
      <c r="BE29" s="49">
        <f t="shared" si="28"/>
        <v>0</v>
      </c>
      <c r="BF29" s="49">
        <f>SUBTOTAL(9,BF27:BF28)</f>
        <v>0</v>
      </c>
      <c r="BG29" s="49">
        <f t="shared" si="28"/>
        <v>0</v>
      </c>
      <c r="BH29" s="49">
        <f t="shared" si="28"/>
        <v>0</v>
      </c>
      <c r="BI29" s="49">
        <f t="shared" si="28"/>
        <v>0</v>
      </c>
      <c r="BJ29" s="49">
        <f t="shared" si="28"/>
        <v>0</v>
      </c>
      <c r="BK29" s="49">
        <f t="shared" si="28"/>
        <v>0</v>
      </c>
      <c r="BL29" s="49">
        <f t="shared" si="28"/>
        <v>0</v>
      </c>
      <c r="BM29" s="49">
        <f t="shared" si="28"/>
        <v>0</v>
      </c>
      <c r="BN29" s="49">
        <f t="shared" si="28"/>
        <v>0</v>
      </c>
      <c r="BO29" s="49">
        <f t="shared" si="28"/>
        <v>0</v>
      </c>
      <c r="BP29" s="49">
        <f t="shared" si="28"/>
        <v>0</v>
      </c>
      <c r="BQ29" s="49">
        <f t="shared" si="28"/>
        <v>0</v>
      </c>
      <c r="BR29" s="44">
        <f>SUBTOTAL(9,BR27:BR28)</f>
        <v>0</v>
      </c>
    </row>
    <row r="30" spans="1:125">
      <c r="A30" s="199">
        <f>+A27+1</f>
        <v>43167</v>
      </c>
      <c r="B30" s="32" t="s">
        <v>43</v>
      </c>
      <c r="C30" s="33" t="s">
        <v>154</v>
      </c>
      <c r="D30" s="34"/>
      <c r="E30" s="34"/>
      <c r="F30" s="171"/>
      <c r="G30" s="33">
        <f>IF(E30-D30&lt;0,E30-D30,0)*-1</f>
        <v>0</v>
      </c>
      <c r="H30" s="33">
        <f>IF(E30-D30&gt;0,E30-D30,0)</f>
        <v>0</v>
      </c>
      <c r="I30" s="34"/>
      <c r="J30" s="34"/>
      <c r="K30" s="34"/>
      <c r="L30" s="34"/>
      <c r="M30" s="36">
        <f>(+K30)*M$5</f>
        <v>0</v>
      </c>
      <c r="N30" s="36">
        <f>(+K30)*N$5</f>
        <v>0</v>
      </c>
      <c r="O30" s="36">
        <f>+K30-M30-N30+P30</f>
        <v>0</v>
      </c>
      <c r="P30" s="36"/>
      <c r="Q30" s="37"/>
      <c r="R30" s="34"/>
      <c r="S30" s="34"/>
      <c r="T30" s="36"/>
      <c r="U30" s="36"/>
      <c r="V30" s="36"/>
      <c r="W30" s="36"/>
      <c r="X30" s="37"/>
      <c r="Y30" s="34"/>
      <c r="Z30" s="34"/>
      <c r="AA30" s="34"/>
      <c r="AB30" s="34"/>
      <c r="AC30" s="34"/>
      <c r="AD30" s="38"/>
      <c r="AE30" s="38"/>
      <c r="AF30" s="34"/>
      <c r="AG30" s="33">
        <f>(AF30*0.8)*0.85</f>
        <v>0</v>
      </c>
      <c r="AH30" s="33">
        <f>(AF30*0.8)*0.15</f>
        <v>0</v>
      </c>
      <c r="AI30" s="33">
        <f>AF30*0.2</f>
        <v>0</v>
      </c>
      <c r="AJ30" s="34">
        <v>0</v>
      </c>
      <c r="AK30" s="33">
        <v>0</v>
      </c>
      <c r="AL30" s="33">
        <f>AK30-SUM(Y30:AC30)</f>
        <v>0</v>
      </c>
      <c r="AM30" s="33">
        <f>+AL30*0.12</f>
        <v>0</v>
      </c>
      <c r="AN30" s="33">
        <f>+AM30+AL30+AJ30</f>
        <v>0</v>
      </c>
      <c r="AO30" s="39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33">
        <f>SUM(AO30:AY30)</f>
        <v>0</v>
      </c>
      <c r="BA30" s="38"/>
      <c r="BB30" s="38"/>
      <c r="BC30" s="33">
        <f>SUM(BE30:BM30)*0.1+(BN30*0.5)</f>
        <v>0</v>
      </c>
      <c r="BD30" s="33">
        <f>SUM(BE30:BM30)+(BN30*0.5)</f>
        <v>0</v>
      </c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41">
        <f>AZ30+BA30+BB30+BD30-BC30</f>
        <v>0</v>
      </c>
      <c r="BT30" s="146"/>
      <c r="BU30" s="145"/>
      <c r="BV30" s="145"/>
      <c r="BW30" s="145"/>
      <c r="BX30" s="145"/>
      <c r="BY30" s="145"/>
      <c r="BZ30" s="145"/>
      <c r="CA30" s="145"/>
      <c r="CB30" s="145"/>
      <c r="CC30" s="145"/>
      <c r="CD30" s="145"/>
      <c r="CE30" s="145"/>
      <c r="CF30" s="145"/>
      <c r="CG30" s="145"/>
      <c r="CH30" s="145"/>
      <c r="CI30" s="145"/>
      <c r="CJ30" s="145"/>
      <c r="CK30" s="145"/>
      <c r="CL30" s="145"/>
      <c r="CM30" s="145"/>
      <c r="CN30" s="145"/>
      <c r="CO30" s="145"/>
      <c r="CP30" s="145"/>
      <c r="CQ30" s="145"/>
      <c r="CR30" s="145"/>
      <c r="CS30" s="145"/>
    </row>
    <row r="31" spans="1:125" ht="15.75" thickBot="1">
      <c r="A31" s="200"/>
      <c r="B31" s="15" t="s">
        <v>44</v>
      </c>
      <c r="C31" s="33"/>
      <c r="D31" s="34"/>
      <c r="E31" s="34"/>
      <c r="F31" s="171"/>
      <c r="G31" s="33">
        <f>IF(E31-D31&lt;0,E31-D31,0)*-1</f>
        <v>0</v>
      </c>
      <c r="H31" s="33">
        <f>IF(E31-D31&gt;0,E31-D31,0)</f>
        <v>0</v>
      </c>
      <c r="I31" s="34"/>
      <c r="J31" s="34"/>
      <c r="K31" s="34"/>
      <c r="L31" s="34"/>
      <c r="M31" s="36">
        <f>(+K31)*M$5</f>
        <v>0</v>
      </c>
      <c r="N31" s="36">
        <f>(+K31)*N$5</f>
        <v>0</v>
      </c>
      <c r="O31" s="36">
        <f>+K31-M31-N31+P31</f>
        <v>0</v>
      </c>
      <c r="P31" s="36"/>
      <c r="Q31" s="37"/>
      <c r="R31" s="34"/>
      <c r="S31" s="34"/>
      <c r="T31" s="36"/>
      <c r="U31" s="36"/>
      <c r="V31" s="36"/>
      <c r="W31" s="36"/>
      <c r="X31" s="37"/>
      <c r="Y31" s="34"/>
      <c r="Z31" s="34"/>
      <c r="AA31" s="34"/>
      <c r="AB31" s="34"/>
      <c r="AC31" s="34"/>
      <c r="AD31" s="38"/>
      <c r="AE31" s="38"/>
      <c r="AF31" s="34"/>
      <c r="AG31" s="33">
        <f>(AF31*0.8)*0.85</f>
        <v>0</v>
      </c>
      <c r="AH31" s="33">
        <f>(AF31*0.8)*0.15</f>
        <v>0</v>
      </c>
      <c r="AI31" s="33">
        <f>AF31*0.2</f>
        <v>0</v>
      </c>
      <c r="AJ31" s="34">
        <v>0</v>
      </c>
      <c r="AK31" s="33">
        <f>(C31-AF31-AJ31)/1.12</f>
        <v>0</v>
      </c>
      <c r="AL31" s="33">
        <f>AK31-SUM(Y31:AC31)</f>
        <v>0</v>
      </c>
      <c r="AM31" s="33">
        <f>+AL31*0.12</f>
        <v>0</v>
      </c>
      <c r="AN31" s="33">
        <f>+AM31+AL31+AJ31</f>
        <v>0</v>
      </c>
      <c r="AO31" s="39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33">
        <f>SUM(AO31:AY31)</f>
        <v>0</v>
      </c>
      <c r="BA31" s="38"/>
      <c r="BB31" s="38">
        <v>0</v>
      </c>
      <c r="BC31" s="33">
        <v>0</v>
      </c>
      <c r="BD31" s="33">
        <v>0</v>
      </c>
      <c r="BE31" s="39"/>
      <c r="BF31" s="39">
        <v>0</v>
      </c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41">
        <f>AZ31+BA31+BB31+BD31-BC31</f>
        <v>0</v>
      </c>
      <c r="BT31" s="146"/>
      <c r="BU31" s="145"/>
      <c r="BV31" s="145"/>
      <c r="BW31" s="145"/>
      <c r="BX31" s="145"/>
      <c r="BY31" s="145"/>
      <c r="BZ31" s="145"/>
      <c r="CA31" s="145"/>
      <c r="CB31" s="145"/>
      <c r="CC31" s="145"/>
      <c r="CD31" s="145"/>
      <c r="CE31" s="145"/>
      <c r="CF31" s="145"/>
      <c r="CG31" s="145"/>
      <c r="CH31" s="145"/>
      <c r="CI31" s="145"/>
      <c r="CJ31" s="145"/>
      <c r="CK31" s="145"/>
      <c r="CL31" s="145"/>
      <c r="CM31" s="145"/>
      <c r="CN31" s="145"/>
      <c r="CO31" s="145"/>
      <c r="CP31" s="145"/>
      <c r="CQ31" s="145"/>
      <c r="CR31" s="145"/>
      <c r="CS31" s="145"/>
    </row>
    <row r="32" spans="1:125" ht="15.75" thickBot="1">
      <c r="A32" s="42"/>
      <c r="B32" s="43"/>
      <c r="C32" s="44">
        <f>SUBTOTAL(9,C30:C31)</f>
        <v>0</v>
      </c>
      <c r="D32" s="45">
        <f>SUBTOTAL(9,D30:D31)</f>
        <v>0</v>
      </c>
      <c r="E32" s="45">
        <f>SUBTOTAL(9,E30:E31)</f>
        <v>0</v>
      </c>
      <c r="F32" s="172"/>
      <c r="G32" s="45">
        <f t="shared" ref="G32:P32" si="29">SUBTOTAL(9,G30:G31)</f>
        <v>0</v>
      </c>
      <c r="H32" s="45">
        <f t="shared" si="29"/>
        <v>0</v>
      </c>
      <c r="I32" s="45">
        <f t="shared" si="29"/>
        <v>0</v>
      </c>
      <c r="J32" s="45">
        <f t="shared" si="29"/>
        <v>0</v>
      </c>
      <c r="K32" s="162">
        <f t="shared" si="29"/>
        <v>0</v>
      </c>
      <c r="L32" s="45">
        <f t="shared" si="29"/>
        <v>0</v>
      </c>
      <c r="M32" s="46">
        <f t="shared" si="29"/>
        <v>0</v>
      </c>
      <c r="N32" s="46">
        <f t="shared" si="29"/>
        <v>0</v>
      </c>
      <c r="O32" s="46">
        <f t="shared" si="29"/>
        <v>0</v>
      </c>
      <c r="P32" s="46">
        <f t="shared" si="29"/>
        <v>0</v>
      </c>
      <c r="Q32" s="47"/>
      <c r="R32" s="45">
        <f t="shared" ref="R32:BQ32" si="30">SUBTOTAL(9,R30:R31)</f>
        <v>0</v>
      </c>
      <c r="S32" s="45">
        <f t="shared" si="30"/>
        <v>0</v>
      </c>
      <c r="T32" s="46">
        <f t="shared" si="30"/>
        <v>0</v>
      </c>
      <c r="U32" s="46">
        <f t="shared" si="30"/>
        <v>0</v>
      </c>
      <c r="V32" s="46">
        <f t="shared" si="30"/>
        <v>0</v>
      </c>
      <c r="W32" s="46">
        <f t="shared" si="30"/>
        <v>0</v>
      </c>
      <c r="X32" s="47"/>
      <c r="Y32" s="45">
        <f>SUBTOTAL(9,Y30:Y31)</f>
        <v>0</v>
      </c>
      <c r="Z32" s="45"/>
      <c r="AA32" s="45"/>
      <c r="AB32" s="45"/>
      <c r="AC32" s="45"/>
      <c r="AD32" s="48"/>
      <c r="AE32" s="48"/>
      <c r="AF32" s="45"/>
      <c r="AG32" s="44">
        <f t="shared" si="30"/>
        <v>0</v>
      </c>
      <c r="AH32" s="44">
        <f t="shared" si="30"/>
        <v>0</v>
      </c>
      <c r="AI32" s="44">
        <f t="shared" si="30"/>
        <v>0</v>
      </c>
      <c r="AJ32" s="45">
        <f t="shared" si="30"/>
        <v>0</v>
      </c>
      <c r="AK32" s="44">
        <f t="shared" si="30"/>
        <v>0</v>
      </c>
      <c r="AL32" s="44">
        <f t="shared" si="30"/>
        <v>0</v>
      </c>
      <c r="AM32" s="44">
        <f t="shared" si="30"/>
        <v>0</v>
      </c>
      <c r="AN32" s="44">
        <f t="shared" si="12"/>
        <v>0</v>
      </c>
      <c r="AO32" s="49">
        <f t="shared" si="30"/>
        <v>0</v>
      </c>
      <c r="AP32" s="49">
        <f t="shared" si="30"/>
        <v>0</v>
      </c>
      <c r="AQ32" s="49">
        <f t="shared" si="30"/>
        <v>0</v>
      </c>
      <c r="AR32" s="49">
        <f t="shared" si="30"/>
        <v>0</v>
      </c>
      <c r="AS32" s="49">
        <f t="shared" si="30"/>
        <v>0</v>
      </c>
      <c r="AT32" s="49">
        <f t="shared" si="30"/>
        <v>0</v>
      </c>
      <c r="AU32" s="49">
        <f>SUBTOTAL(9,AU30:AU31)</f>
        <v>0</v>
      </c>
      <c r="AV32" s="49">
        <f t="shared" si="30"/>
        <v>0</v>
      </c>
      <c r="AW32" s="49">
        <f t="shared" si="30"/>
        <v>0</v>
      </c>
      <c r="AX32" s="49">
        <f t="shared" si="30"/>
        <v>0</v>
      </c>
      <c r="AY32" s="49">
        <f t="shared" si="30"/>
        <v>0</v>
      </c>
      <c r="AZ32" s="44">
        <f t="shared" si="30"/>
        <v>0</v>
      </c>
      <c r="BA32" s="48">
        <f t="shared" si="30"/>
        <v>0</v>
      </c>
      <c r="BB32" s="48">
        <f t="shared" si="30"/>
        <v>0</v>
      </c>
      <c r="BC32" s="44">
        <f t="shared" si="30"/>
        <v>0</v>
      </c>
      <c r="BD32" s="44">
        <f t="shared" si="30"/>
        <v>0</v>
      </c>
      <c r="BE32" s="49">
        <f t="shared" si="30"/>
        <v>0</v>
      </c>
      <c r="BF32" s="49">
        <f>SUBTOTAL(9,BF30:BF31)</f>
        <v>0</v>
      </c>
      <c r="BG32" s="49">
        <f t="shared" si="30"/>
        <v>0</v>
      </c>
      <c r="BH32" s="49">
        <f t="shared" si="30"/>
        <v>0</v>
      </c>
      <c r="BI32" s="49">
        <f t="shared" si="30"/>
        <v>0</v>
      </c>
      <c r="BJ32" s="49">
        <f t="shared" si="30"/>
        <v>0</v>
      </c>
      <c r="BK32" s="49">
        <f t="shared" si="30"/>
        <v>0</v>
      </c>
      <c r="BL32" s="49">
        <f t="shared" si="30"/>
        <v>0</v>
      </c>
      <c r="BM32" s="49">
        <f t="shared" si="30"/>
        <v>0</v>
      </c>
      <c r="BN32" s="49">
        <f t="shared" si="30"/>
        <v>0</v>
      </c>
      <c r="BO32" s="49">
        <f t="shared" si="30"/>
        <v>0</v>
      </c>
      <c r="BP32" s="49">
        <f t="shared" si="30"/>
        <v>0</v>
      </c>
      <c r="BQ32" s="49">
        <f t="shared" si="30"/>
        <v>0</v>
      </c>
      <c r="BR32" s="44">
        <f>SUBTOTAL(9,BR30:BR31)</f>
        <v>0</v>
      </c>
    </row>
    <row r="33" spans="1:125">
      <c r="A33" s="199">
        <f>+A30+1</f>
        <v>43168</v>
      </c>
      <c r="B33" s="32" t="s">
        <v>43</v>
      </c>
      <c r="C33" s="33" t="s">
        <v>158</v>
      </c>
      <c r="D33" s="34"/>
      <c r="E33" s="34"/>
      <c r="F33" s="171"/>
      <c r="G33" s="33">
        <f>IF(E33-D33&lt;0,E33-D33,0)*-1</f>
        <v>0</v>
      </c>
      <c r="H33" s="33">
        <f>IF(E33-D33&gt;0,E33-D33,0)</f>
        <v>0</v>
      </c>
      <c r="I33" s="34"/>
      <c r="J33" s="34"/>
      <c r="K33" s="34"/>
      <c r="L33" s="34"/>
      <c r="M33" s="36">
        <f>(+K33)*M$5</f>
        <v>0</v>
      </c>
      <c r="N33" s="36">
        <f>(+K33)*N$5</f>
        <v>0</v>
      </c>
      <c r="O33" s="36">
        <f>+K33-M33-N33+P33</f>
        <v>0</v>
      </c>
      <c r="P33" s="36"/>
      <c r="Q33" s="37"/>
      <c r="R33" s="34"/>
      <c r="S33" s="34"/>
      <c r="T33" s="36"/>
      <c r="U33" s="36"/>
      <c r="V33" s="36"/>
      <c r="W33" s="36"/>
      <c r="X33" s="37"/>
      <c r="Y33" s="34"/>
      <c r="Z33" s="34"/>
      <c r="AA33" s="34"/>
      <c r="AB33" s="34"/>
      <c r="AC33" s="34"/>
      <c r="AD33" s="38"/>
      <c r="AE33" s="38"/>
      <c r="AF33" s="34"/>
      <c r="AG33" s="33">
        <f>(AF33*0.8)*0.85</f>
        <v>0</v>
      </c>
      <c r="AH33" s="33">
        <f>(AF33*0.8)*0.15</f>
        <v>0</v>
      </c>
      <c r="AI33" s="33">
        <f>AF33*0.2</f>
        <v>0</v>
      </c>
      <c r="AJ33" s="34"/>
      <c r="AK33" s="33">
        <v>0</v>
      </c>
      <c r="AL33" s="33">
        <f>AK33-SUM(Y33:AC33)</f>
        <v>0</v>
      </c>
      <c r="AM33" s="33">
        <f>+AL33*0.12</f>
        <v>0</v>
      </c>
      <c r="AN33" s="33">
        <f>+AM33+AL33+AJ33</f>
        <v>0</v>
      </c>
      <c r="AO33" s="39"/>
      <c r="AP33" s="40">
        <v>0</v>
      </c>
      <c r="AQ33" s="40"/>
      <c r="AR33" s="40"/>
      <c r="AS33" s="40"/>
      <c r="AT33" s="40"/>
      <c r="AU33" s="40"/>
      <c r="AV33" s="40"/>
      <c r="AW33" s="40"/>
      <c r="AX33" s="40"/>
      <c r="AY33" s="40"/>
      <c r="AZ33" s="33">
        <f>SUM(AO33:AY33)</f>
        <v>0</v>
      </c>
      <c r="BA33" s="38"/>
      <c r="BB33" s="38"/>
      <c r="BC33" s="33">
        <f>SUM(BE33:BM33)*0.1+(BN33*0.5)</f>
        <v>0</v>
      </c>
      <c r="BD33" s="33">
        <f>SUM(BE33:BM33)+(BN33*0.5)</f>
        <v>0</v>
      </c>
      <c r="BE33" s="39"/>
      <c r="BF33" s="39"/>
      <c r="BG33" s="39"/>
      <c r="BH33" s="39"/>
      <c r="BI33" s="39"/>
      <c r="BJ33" s="39"/>
      <c r="BK33" s="39"/>
      <c r="BL33" s="39"/>
      <c r="BM33" s="39">
        <v>0</v>
      </c>
      <c r="BN33" s="39"/>
      <c r="BO33" s="39"/>
      <c r="BP33" s="39"/>
      <c r="BQ33" s="39"/>
      <c r="BR33" s="41">
        <f>AZ33+BA33+BB33+BD33-BC33</f>
        <v>0</v>
      </c>
      <c r="BT33" s="146"/>
      <c r="BU33" s="145"/>
      <c r="BV33" s="145"/>
      <c r="BW33" s="145"/>
      <c r="BX33" s="145"/>
      <c r="BY33" s="145"/>
      <c r="BZ33" s="145"/>
      <c r="CA33" s="145"/>
      <c r="CB33" s="145"/>
      <c r="CC33" s="145"/>
      <c r="CD33" s="145"/>
      <c r="CE33" s="145"/>
      <c r="CF33" s="145"/>
      <c r="CG33" s="145"/>
      <c r="CH33" s="145"/>
      <c r="CI33" s="145"/>
      <c r="CJ33" s="145"/>
      <c r="CK33" s="145"/>
      <c r="CL33" s="145"/>
      <c r="CM33" s="145"/>
      <c r="CN33" s="145"/>
      <c r="CO33" s="145"/>
      <c r="CP33" s="145"/>
      <c r="CQ33" s="145"/>
      <c r="CR33" s="145"/>
      <c r="CS33" s="145"/>
    </row>
    <row r="34" spans="1:125" ht="15.75" thickBot="1">
      <c r="A34" s="200"/>
      <c r="B34" s="15" t="s">
        <v>44</v>
      </c>
      <c r="C34" s="33"/>
      <c r="D34" s="34"/>
      <c r="E34" s="34"/>
      <c r="F34" s="171"/>
      <c r="G34" s="33">
        <f>IF(E34-D34&lt;0,E34-D34,0)*-1</f>
        <v>0</v>
      </c>
      <c r="H34" s="33">
        <f>IF(E34-D34&gt;0,E34-D34,0)</f>
        <v>0</v>
      </c>
      <c r="I34" s="34"/>
      <c r="J34" s="34"/>
      <c r="K34" s="34"/>
      <c r="L34" s="34"/>
      <c r="M34" s="36">
        <f>(+K34)*M$5</f>
        <v>0</v>
      </c>
      <c r="N34" s="36">
        <f>(+K34)*N$5</f>
        <v>0</v>
      </c>
      <c r="O34" s="36">
        <f>+K34-M34-N34+P34</f>
        <v>0</v>
      </c>
      <c r="P34" s="36"/>
      <c r="Q34" s="37"/>
      <c r="R34" s="34"/>
      <c r="S34" s="34"/>
      <c r="T34" s="36"/>
      <c r="U34" s="36"/>
      <c r="V34" s="36"/>
      <c r="W34" s="36"/>
      <c r="X34" s="37"/>
      <c r="Y34" s="34"/>
      <c r="Z34" s="34"/>
      <c r="AA34" s="34"/>
      <c r="AB34" s="34"/>
      <c r="AC34" s="34"/>
      <c r="AD34" s="38"/>
      <c r="AE34" s="38"/>
      <c r="AF34" s="34"/>
      <c r="AG34" s="33">
        <f>(AF34*0.8)*0.85</f>
        <v>0</v>
      </c>
      <c r="AH34" s="33">
        <f>(AF34*0.8)*0.15</f>
        <v>0</v>
      </c>
      <c r="AI34" s="33">
        <f>AF34*0.2</f>
        <v>0</v>
      </c>
      <c r="AJ34" s="34">
        <v>0</v>
      </c>
      <c r="AK34" s="33">
        <f>(C34-AF34-AJ34)/1.12</f>
        <v>0</v>
      </c>
      <c r="AL34" s="33">
        <f>AK34-SUM(Y34:AC34)</f>
        <v>0</v>
      </c>
      <c r="AM34" s="33">
        <f>+AL34*0.12</f>
        <v>0</v>
      </c>
      <c r="AN34" s="33">
        <f t="shared" si="12"/>
        <v>0</v>
      </c>
      <c r="AO34" s="39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33">
        <f>SUM(AO34:AY34)</f>
        <v>0</v>
      </c>
      <c r="BA34" s="38"/>
      <c r="BB34" s="38"/>
      <c r="BC34" s="33">
        <v>0</v>
      </c>
      <c r="BD34" s="33">
        <v>0</v>
      </c>
      <c r="BE34" s="39"/>
      <c r="BF34" s="39"/>
      <c r="BG34" s="39"/>
      <c r="BH34" s="39"/>
      <c r="BI34" s="39"/>
      <c r="BJ34" s="39"/>
      <c r="BK34" s="39"/>
      <c r="BL34" s="39"/>
      <c r="BM34" s="39">
        <v>0</v>
      </c>
      <c r="BN34" s="39"/>
      <c r="BO34" s="39"/>
      <c r="BP34" s="39"/>
      <c r="BQ34" s="39"/>
      <c r="BR34" s="41">
        <f>AZ34+BA34+BB34+BD34-BC34</f>
        <v>0</v>
      </c>
      <c r="BT34" s="146"/>
      <c r="BU34" s="145"/>
      <c r="BV34" s="145"/>
      <c r="BW34" s="145"/>
      <c r="BX34" s="145"/>
      <c r="BY34" s="145"/>
      <c r="BZ34" s="145"/>
      <c r="CA34" s="145"/>
      <c r="CB34" s="145"/>
      <c r="CC34" s="145"/>
      <c r="CD34" s="145"/>
      <c r="CE34" s="145"/>
      <c r="CF34" s="145"/>
      <c r="CG34" s="145"/>
      <c r="CH34" s="145"/>
      <c r="CI34" s="145"/>
      <c r="CJ34" s="145"/>
      <c r="CK34" s="145"/>
      <c r="CL34" s="145"/>
      <c r="CM34" s="145"/>
      <c r="CN34" s="145"/>
      <c r="CO34" s="145"/>
      <c r="CP34" s="145"/>
      <c r="CQ34" s="145"/>
      <c r="CR34" s="145"/>
      <c r="CS34" s="145"/>
    </row>
    <row r="35" spans="1:125" s="121" customFormat="1" ht="15.75" thickBot="1">
      <c r="A35" s="42"/>
      <c r="B35" s="43"/>
      <c r="C35" s="44">
        <f t="shared" ref="C35:Y35" si="31">SUBTOTAL(9,C33:C34)</f>
        <v>0</v>
      </c>
      <c r="D35" s="162">
        <f t="shared" si="31"/>
        <v>0</v>
      </c>
      <c r="E35" s="162">
        <f t="shared" si="31"/>
        <v>0</v>
      </c>
      <c r="F35" s="174"/>
      <c r="G35" s="44">
        <f t="shared" si="31"/>
        <v>0</v>
      </c>
      <c r="H35" s="44">
        <f t="shared" si="31"/>
        <v>0</v>
      </c>
      <c r="I35" s="162">
        <f t="shared" si="31"/>
        <v>0</v>
      </c>
      <c r="J35" s="162">
        <f t="shared" si="31"/>
        <v>0</v>
      </c>
      <c r="K35" s="162">
        <f t="shared" si="31"/>
        <v>0</v>
      </c>
      <c r="L35" s="162">
        <f t="shared" si="31"/>
        <v>0</v>
      </c>
      <c r="M35" s="44">
        <f t="shared" si="31"/>
        <v>0</v>
      </c>
      <c r="N35" s="44">
        <f t="shared" si="31"/>
        <v>0</v>
      </c>
      <c r="O35" s="44">
        <f t="shared" si="31"/>
        <v>0</v>
      </c>
      <c r="P35" s="44">
        <f t="shared" si="31"/>
        <v>0</v>
      </c>
      <c r="Q35" s="162">
        <f t="shared" si="31"/>
        <v>0</v>
      </c>
      <c r="R35" s="162">
        <f t="shared" si="31"/>
        <v>0</v>
      </c>
      <c r="S35" s="162">
        <f t="shared" si="31"/>
        <v>0</v>
      </c>
      <c r="T35" s="44">
        <f t="shared" si="31"/>
        <v>0</v>
      </c>
      <c r="U35" s="44">
        <f t="shared" si="31"/>
        <v>0</v>
      </c>
      <c r="V35" s="44">
        <f t="shared" si="31"/>
        <v>0</v>
      </c>
      <c r="W35" s="44">
        <f t="shared" si="31"/>
        <v>0</v>
      </c>
      <c r="X35" s="162">
        <f t="shared" si="31"/>
        <v>0</v>
      </c>
      <c r="Y35" s="162">
        <f t="shared" si="31"/>
        <v>0</v>
      </c>
      <c r="Z35" s="162"/>
      <c r="AA35" s="162"/>
      <c r="AB35" s="162"/>
      <c r="AC35" s="162"/>
      <c r="AD35" s="48"/>
      <c r="AE35" s="48"/>
      <c r="AF35" s="45"/>
      <c r="AG35" s="44">
        <f t="shared" ref="AG35:BQ35" si="32">SUBTOTAL(9,AG33:AG34)</f>
        <v>0</v>
      </c>
      <c r="AH35" s="44">
        <f t="shared" si="32"/>
        <v>0</v>
      </c>
      <c r="AI35" s="44">
        <f t="shared" si="32"/>
        <v>0</v>
      </c>
      <c r="AJ35" s="45">
        <f t="shared" si="32"/>
        <v>0</v>
      </c>
      <c r="AK35" s="44">
        <f t="shared" si="32"/>
        <v>0</v>
      </c>
      <c r="AL35" s="44">
        <f t="shared" si="32"/>
        <v>0</v>
      </c>
      <c r="AM35" s="44">
        <f t="shared" si="32"/>
        <v>0</v>
      </c>
      <c r="AN35" s="44">
        <f t="shared" si="12"/>
        <v>0</v>
      </c>
      <c r="AO35" s="49">
        <f t="shared" si="32"/>
        <v>0</v>
      </c>
      <c r="AP35" s="49">
        <f t="shared" si="32"/>
        <v>0</v>
      </c>
      <c r="AQ35" s="49">
        <f t="shared" si="32"/>
        <v>0</v>
      </c>
      <c r="AR35" s="49">
        <f t="shared" si="32"/>
        <v>0</v>
      </c>
      <c r="AS35" s="49">
        <f t="shared" si="32"/>
        <v>0</v>
      </c>
      <c r="AT35" s="49">
        <f t="shared" si="32"/>
        <v>0</v>
      </c>
      <c r="AU35" s="49">
        <f>SUBTOTAL(9,AU33:AU34)</f>
        <v>0</v>
      </c>
      <c r="AV35" s="49">
        <f t="shared" si="32"/>
        <v>0</v>
      </c>
      <c r="AW35" s="49">
        <f t="shared" si="32"/>
        <v>0</v>
      </c>
      <c r="AX35" s="49">
        <f t="shared" si="32"/>
        <v>0</v>
      </c>
      <c r="AY35" s="49">
        <f t="shared" si="32"/>
        <v>0</v>
      </c>
      <c r="AZ35" s="44">
        <f t="shared" si="32"/>
        <v>0</v>
      </c>
      <c r="BA35" s="48">
        <f t="shared" si="32"/>
        <v>0</v>
      </c>
      <c r="BB35" s="48">
        <f t="shared" si="32"/>
        <v>0</v>
      </c>
      <c r="BC35" s="44">
        <f t="shared" si="32"/>
        <v>0</v>
      </c>
      <c r="BD35" s="44">
        <f t="shared" si="32"/>
        <v>0</v>
      </c>
      <c r="BE35" s="49">
        <f t="shared" si="32"/>
        <v>0</v>
      </c>
      <c r="BF35" s="49">
        <f>SUBTOTAL(9,BF33:BF34)</f>
        <v>0</v>
      </c>
      <c r="BG35" s="49">
        <f t="shared" si="32"/>
        <v>0</v>
      </c>
      <c r="BH35" s="49">
        <f t="shared" si="32"/>
        <v>0</v>
      </c>
      <c r="BI35" s="49">
        <f t="shared" si="32"/>
        <v>0</v>
      </c>
      <c r="BJ35" s="49">
        <f t="shared" si="32"/>
        <v>0</v>
      </c>
      <c r="BK35" s="49">
        <f t="shared" si="32"/>
        <v>0</v>
      </c>
      <c r="BL35" s="49">
        <f t="shared" si="32"/>
        <v>0</v>
      </c>
      <c r="BM35" s="49">
        <f t="shared" si="32"/>
        <v>0</v>
      </c>
      <c r="BN35" s="49">
        <f t="shared" si="32"/>
        <v>0</v>
      </c>
      <c r="BO35" s="49">
        <f t="shared" si="32"/>
        <v>0</v>
      </c>
      <c r="BP35" s="49">
        <f t="shared" si="32"/>
        <v>0</v>
      </c>
      <c r="BQ35" s="49">
        <f t="shared" si="32"/>
        <v>0</v>
      </c>
      <c r="BR35" s="44">
        <f>SUBTOTAL(9,BR33:BR34)</f>
        <v>0</v>
      </c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</row>
    <row r="36" spans="1:125">
      <c r="A36" s="199">
        <f>+A33+1</f>
        <v>43169</v>
      </c>
      <c r="B36" s="15" t="s">
        <v>43</v>
      </c>
      <c r="C36" s="33">
        <v>20205.59</v>
      </c>
      <c r="D36" s="34">
        <v>11766.39</v>
      </c>
      <c r="E36" s="34">
        <v>11767</v>
      </c>
      <c r="F36" s="171">
        <v>43200</v>
      </c>
      <c r="G36" s="33">
        <f>IF(E36-D36&lt;0,E36-D36,0)*-1</f>
        <v>0</v>
      </c>
      <c r="H36" s="33">
        <f>IF(E36-D36&gt;0,E36-D36,0)</f>
        <v>0.61000000000058208</v>
      </c>
      <c r="I36" s="34"/>
      <c r="J36" s="34"/>
      <c r="K36" s="34">
        <v>7864.65</v>
      </c>
      <c r="L36" s="34"/>
      <c r="M36" s="36">
        <f>(+K36)*M$5</f>
        <v>169.08997499999998</v>
      </c>
      <c r="N36" s="36">
        <f>(+K36)*N$5</f>
        <v>39.323250000000002</v>
      </c>
      <c r="O36" s="36">
        <f>+K36-M36-N36+P36</f>
        <v>7656.2367749999994</v>
      </c>
      <c r="P36" s="36">
        <f>L36-(L36*(M$5+N$5))</f>
        <v>0</v>
      </c>
      <c r="Q36" s="37"/>
      <c r="R36" s="34"/>
      <c r="S36" s="34"/>
      <c r="T36" s="36">
        <f>+R36*T$5</f>
        <v>0</v>
      </c>
      <c r="U36" s="36">
        <f>+R36*U$5</f>
        <v>0</v>
      </c>
      <c r="V36" s="36">
        <f>+R36-T36-U36+W36</f>
        <v>0</v>
      </c>
      <c r="W36" s="36">
        <f>+S36-(S36*(T$5+U$5))</f>
        <v>0</v>
      </c>
      <c r="X36" s="37"/>
      <c r="Y36" s="34"/>
      <c r="Z36" s="34">
        <v>168</v>
      </c>
      <c r="AA36" s="34"/>
      <c r="AB36" s="34"/>
      <c r="AC36" s="34">
        <v>406.55</v>
      </c>
      <c r="AD36" s="38"/>
      <c r="AE36" s="38"/>
      <c r="AF36" s="34">
        <v>1589.52</v>
      </c>
      <c r="AG36" s="33">
        <f>(AF36*0.8)*0.85</f>
        <v>1080.8735999999999</v>
      </c>
      <c r="AH36" s="33">
        <f>(AF36*0.8)*0.15</f>
        <v>190.7424</v>
      </c>
      <c r="AI36" s="33">
        <f>AF36*0.2</f>
        <v>317.904</v>
      </c>
      <c r="AJ36" s="34">
        <v>0</v>
      </c>
      <c r="AK36" s="33">
        <f>(C36-AF36-AJ36)/1.12</f>
        <v>16621.491071428569</v>
      </c>
      <c r="AL36" s="33">
        <f>AK36-SUM(Y36:AC36)</f>
        <v>16046.94107142857</v>
      </c>
      <c r="AM36" s="33">
        <f>+AL36*0.12</f>
        <v>1925.6329285714282</v>
      </c>
      <c r="AN36" s="33">
        <f>+AM36+AL36+AJ36</f>
        <v>17972.573999999997</v>
      </c>
      <c r="AO36" s="39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33">
        <f>SUM(AO36:AY36)</f>
        <v>0</v>
      </c>
      <c r="BA36" s="38"/>
      <c r="BB36" s="38"/>
      <c r="BC36" s="33">
        <f>SUM(BE36:BM36)*0.1+(BN36*0.5)</f>
        <v>0</v>
      </c>
      <c r="BD36" s="33">
        <f>SUM(BE36:BM36)+(BN36*0.5)</f>
        <v>0</v>
      </c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41">
        <f>AZ36+BA36+BB36+BD36-BC36</f>
        <v>0</v>
      </c>
      <c r="BT36" s="146"/>
      <c r="BU36" s="145"/>
      <c r="BV36" s="145"/>
      <c r="BW36" s="145"/>
      <c r="BX36" s="145"/>
      <c r="BY36" s="145"/>
      <c r="BZ36" s="145"/>
      <c r="CA36" s="145"/>
      <c r="CB36" s="145"/>
      <c r="CC36" s="145"/>
      <c r="CD36" s="145"/>
      <c r="CE36" s="145"/>
      <c r="CF36" s="145"/>
      <c r="CG36" s="145"/>
      <c r="CH36" s="145"/>
      <c r="CI36" s="145"/>
      <c r="CJ36" s="145"/>
      <c r="CK36" s="145"/>
      <c r="CL36" s="145"/>
      <c r="CM36" s="145"/>
      <c r="CN36" s="145"/>
      <c r="CO36" s="145"/>
      <c r="CP36" s="145"/>
      <c r="CQ36" s="145"/>
      <c r="CR36" s="145"/>
      <c r="CS36" s="145"/>
    </row>
    <row r="37" spans="1:125" ht="15.75" thickBot="1">
      <c r="A37" s="200"/>
      <c r="B37" s="15" t="s">
        <v>44</v>
      </c>
      <c r="C37" s="33">
        <v>12264.08</v>
      </c>
      <c r="D37" s="34">
        <v>10985.24</v>
      </c>
      <c r="E37" s="34">
        <v>10990</v>
      </c>
      <c r="F37" s="171">
        <v>43201</v>
      </c>
      <c r="G37" s="33">
        <f>IF(E37-D37&lt;0,E37-D37,0)*-1</f>
        <v>0</v>
      </c>
      <c r="H37" s="33">
        <f>IF(E37-D37&gt;0,E37-D37,0)</f>
        <v>4.7600000000002183</v>
      </c>
      <c r="I37" s="34"/>
      <c r="J37" s="34"/>
      <c r="K37" s="34">
        <v>1160.0899999999999</v>
      </c>
      <c r="L37" s="34"/>
      <c r="M37" s="36">
        <f>(+K37)*M$5</f>
        <v>24.941934999999997</v>
      </c>
      <c r="N37" s="36">
        <f>(+K37)*N$5</f>
        <v>5.8004499999999997</v>
      </c>
      <c r="O37" s="36">
        <f>+K37-M37-N37+P37</f>
        <v>1129.3476149999999</v>
      </c>
      <c r="P37" s="36">
        <f>L37-(L37*(M$5+N$5))</f>
        <v>0</v>
      </c>
      <c r="Q37" s="37"/>
      <c r="R37" s="34"/>
      <c r="S37" s="34"/>
      <c r="T37" s="36">
        <f>+R37*T$5</f>
        <v>0</v>
      </c>
      <c r="U37" s="36">
        <f>+R37*U$5</f>
        <v>0</v>
      </c>
      <c r="V37" s="36">
        <f>+R37-T37-U37+W37</f>
        <v>0</v>
      </c>
      <c r="W37" s="36">
        <f>+S37-(S37*(T$5+U$5))</f>
        <v>0</v>
      </c>
      <c r="X37" s="37"/>
      <c r="Y37" s="34"/>
      <c r="Z37" s="34"/>
      <c r="AA37" s="34"/>
      <c r="AB37" s="34"/>
      <c r="AC37" s="34">
        <v>118.75</v>
      </c>
      <c r="AD37" s="38"/>
      <c r="AE37" s="38"/>
      <c r="AF37" s="34">
        <v>686.33</v>
      </c>
      <c r="AG37" s="33">
        <f>(AF37*0.8)*0.85</f>
        <v>466.70440000000008</v>
      </c>
      <c r="AH37" s="33">
        <f>(AF37*0.8)*0.15</f>
        <v>82.359600000000015</v>
      </c>
      <c r="AI37" s="33">
        <f>AF37*0.2</f>
        <v>137.26600000000002</v>
      </c>
      <c r="AJ37" s="34"/>
      <c r="AK37" s="33">
        <f>(C37-AF37-AJ37)/1.12</f>
        <v>10337.276785714284</v>
      </c>
      <c r="AL37" s="33">
        <f>AK37-SUM(Y37:AC37)</f>
        <v>10218.526785714284</v>
      </c>
      <c r="AM37" s="33">
        <f>+AL37*0.12</f>
        <v>1226.223214285714</v>
      </c>
      <c r="AN37" s="33">
        <f>+AM37+AL37+AJ37</f>
        <v>11444.749999999998</v>
      </c>
      <c r="AO37" s="39">
        <v>430</v>
      </c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33">
        <f>SUM(AO37:AY37)</f>
        <v>430</v>
      </c>
      <c r="BA37" s="38"/>
      <c r="BB37" s="38">
        <v>0</v>
      </c>
      <c r="BC37" s="33">
        <v>0</v>
      </c>
      <c r="BD37" s="33">
        <v>0</v>
      </c>
      <c r="BE37" s="39"/>
      <c r="BF37" s="39"/>
      <c r="BG37" s="39">
        <v>340</v>
      </c>
      <c r="BH37" s="39"/>
      <c r="BI37" s="39">
        <v>0</v>
      </c>
      <c r="BJ37" s="39"/>
      <c r="BK37" s="39"/>
      <c r="BL37" s="39"/>
      <c r="BM37" s="39"/>
      <c r="BN37" s="39"/>
      <c r="BO37" s="39"/>
      <c r="BP37" s="39"/>
      <c r="BQ37" s="39"/>
      <c r="BR37" s="41">
        <f>AZ37+BA37+BB37+BD37-BC37</f>
        <v>430</v>
      </c>
      <c r="BT37" s="146"/>
      <c r="BU37" s="145"/>
      <c r="BV37" s="145"/>
      <c r="BW37" s="145"/>
      <c r="BX37" s="145"/>
      <c r="BY37" s="145"/>
      <c r="BZ37" s="145"/>
      <c r="CA37" s="145"/>
      <c r="CB37" s="145"/>
      <c r="CC37" s="145"/>
      <c r="CD37" s="145"/>
      <c r="CE37" s="145"/>
      <c r="CF37" s="145"/>
      <c r="CG37" s="145"/>
      <c r="CH37" s="145"/>
      <c r="CI37" s="145"/>
      <c r="CJ37" s="145"/>
      <c r="CK37" s="145"/>
      <c r="CL37" s="145"/>
      <c r="CM37" s="145"/>
      <c r="CN37" s="145"/>
      <c r="CO37" s="145"/>
      <c r="CP37" s="145"/>
      <c r="CQ37" s="145"/>
      <c r="CR37" s="145"/>
      <c r="CS37" s="145"/>
    </row>
    <row r="38" spans="1:125" ht="15.75" thickBot="1">
      <c r="A38" s="42"/>
      <c r="B38" s="43"/>
      <c r="C38" s="44">
        <f>SUBTOTAL(9,C36:C37)</f>
        <v>32469.67</v>
      </c>
      <c r="D38" s="45">
        <f>SUBTOTAL(9,D36:D37)</f>
        <v>22751.629999999997</v>
      </c>
      <c r="E38" s="45">
        <f>SUBTOTAL(9,E36:E37)</f>
        <v>22757</v>
      </c>
      <c r="F38" s="172"/>
      <c r="G38" s="45">
        <f t="shared" ref="G38:P38" si="33">SUBTOTAL(9,G36:G37)</f>
        <v>0</v>
      </c>
      <c r="H38" s="45">
        <f t="shared" si="33"/>
        <v>5.3700000000008004</v>
      </c>
      <c r="I38" s="162">
        <f t="shared" si="33"/>
        <v>0</v>
      </c>
      <c r="J38" s="162">
        <f t="shared" si="33"/>
        <v>0</v>
      </c>
      <c r="K38" s="162">
        <f t="shared" si="33"/>
        <v>9024.74</v>
      </c>
      <c r="L38" s="162">
        <f t="shared" si="33"/>
        <v>0</v>
      </c>
      <c r="M38" s="46">
        <f t="shared" si="33"/>
        <v>194.03190999999998</v>
      </c>
      <c r="N38" s="46">
        <f t="shared" si="33"/>
        <v>45.123699999999999</v>
      </c>
      <c r="O38" s="46">
        <f t="shared" si="33"/>
        <v>8785.58439</v>
      </c>
      <c r="P38" s="46">
        <f t="shared" si="33"/>
        <v>0</v>
      </c>
      <c r="Q38" s="47"/>
      <c r="R38" s="45">
        <f t="shared" ref="R38:BQ38" si="34">SUBTOTAL(9,R36:R37)</f>
        <v>0</v>
      </c>
      <c r="S38" s="45">
        <f t="shared" si="34"/>
        <v>0</v>
      </c>
      <c r="T38" s="46">
        <f t="shared" si="34"/>
        <v>0</v>
      </c>
      <c r="U38" s="46">
        <f t="shared" si="34"/>
        <v>0</v>
      </c>
      <c r="V38" s="46">
        <f t="shared" si="34"/>
        <v>0</v>
      </c>
      <c r="W38" s="46">
        <f t="shared" si="34"/>
        <v>0</v>
      </c>
      <c r="X38" s="47"/>
      <c r="Y38" s="45">
        <f>SUBTOTAL(9,Y36:Y37)</f>
        <v>0</v>
      </c>
      <c r="Z38" s="45"/>
      <c r="AA38" s="45"/>
      <c r="AB38" s="45"/>
      <c r="AC38" s="45"/>
      <c r="AD38" s="48"/>
      <c r="AE38" s="48"/>
      <c r="AF38" s="45"/>
      <c r="AG38" s="44">
        <f t="shared" si="34"/>
        <v>1547.578</v>
      </c>
      <c r="AH38" s="44">
        <f t="shared" si="34"/>
        <v>273.10200000000003</v>
      </c>
      <c r="AI38" s="44">
        <f t="shared" si="34"/>
        <v>455.17</v>
      </c>
      <c r="AJ38" s="45">
        <f t="shared" si="34"/>
        <v>0</v>
      </c>
      <c r="AK38" s="44">
        <f t="shared" si="34"/>
        <v>26958.767857142855</v>
      </c>
      <c r="AL38" s="44">
        <f t="shared" si="34"/>
        <v>26265.467857142852</v>
      </c>
      <c r="AM38" s="44">
        <f t="shared" si="34"/>
        <v>3151.856142857142</v>
      </c>
      <c r="AN38" s="44">
        <f t="shared" si="12"/>
        <v>29417.323999999993</v>
      </c>
      <c r="AO38" s="49">
        <f t="shared" si="34"/>
        <v>430</v>
      </c>
      <c r="AP38" s="49">
        <f t="shared" si="34"/>
        <v>0</v>
      </c>
      <c r="AQ38" s="49">
        <f t="shared" si="34"/>
        <v>0</v>
      </c>
      <c r="AR38" s="49">
        <f t="shared" si="34"/>
        <v>0</v>
      </c>
      <c r="AS38" s="49">
        <f t="shared" si="34"/>
        <v>0</v>
      </c>
      <c r="AT38" s="49">
        <f t="shared" si="34"/>
        <v>0</v>
      </c>
      <c r="AU38" s="49">
        <f>SUBTOTAL(9,AU36:AU37)</f>
        <v>0</v>
      </c>
      <c r="AV38" s="49">
        <f t="shared" si="34"/>
        <v>0</v>
      </c>
      <c r="AW38" s="49">
        <f t="shared" si="34"/>
        <v>0</v>
      </c>
      <c r="AX38" s="49">
        <f t="shared" si="34"/>
        <v>0</v>
      </c>
      <c r="AY38" s="49">
        <f t="shared" si="34"/>
        <v>0</v>
      </c>
      <c r="AZ38" s="44">
        <f t="shared" si="34"/>
        <v>430</v>
      </c>
      <c r="BA38" s="48">
        <f t="shared" si="34"/>
        <v>0</v>
      </c>
      <c r="BB38" s="48">
        <f t="shared" si="34"/>
        <v>0</v>
      </c>
      <c r="BC38" s="44">
        <f t="shared" si="34"/>
        <v>0</v>
      </c>
      <c r="BD38" s="44">
        <f t="shared" si="34"/>
        <v>0</v>
      </c>
      <c r="BE38" s="49">
        <f t="shared" si="34"/>
        <v>0</v>
      </c>
      <c r="BF38" s="49">
        <f>SUBTOTAL(9,BF36:BF37)</f>
        <v>0</v>
      </c>
      <c r="BG38" s="49">
        <f t="shared" si="34"/>
        <v>340</v>
      </c>
      <c r="BH38" s="49">
        <f t="shared" si="34"/>
        <v>0</v>
      </c>
      <c r="BI38" s="49">
        <f t="shared" si="34"/>
        <v>0</v>
      </c>
      <c r="BJ38" s="49">
        <f t="shared" si="34"/>
        <v>0</v>
      </c>
      <c r="BK38" s="49">
        <f t="shared" si="34"/>
        <v>0</v>
      </c>
      <c r="BL38" s="49">
        <f t="shared" si="34"/>
        <v>0</v>
      </c>
      <c r="BM38" s="49">
        <f t="shared" si="34"/>
        <v>0</v>
      </c>
      <c r="BN38" s="49">
        <f t="shared" si="34"/>
        <v>0</v>
      </c>
      <c r="BO38" s="49">
        <f t="shared" si="34"/>
        <v>0</v>
      </c>
      <c r="BP38" s="49">
        <f t="shared" si="34"/>
        <v>0</v>
      </c>
      <c r="BQ38" s="49">
        <f t="shared" si="34"/>
        <v>0</v>
      </c>
      <c r="BR38" s="44">
        <f>SUBTOTAL(9,BR36:BR37)</f>
        <v>430</v>
      </c>
    </row>
    <row r="39" spans="1:125">
      <c r="A39" s="199">
        <f>+A36+1</f>
        <v>43170</v>
      </c>
      <c r="B39" s="16" t="s">
        <v>43</v>
      </c>
      <c r="C39" s="33">
        <v>14744.54</v>
      </c>
      <c r="D39" s="34">
        <v>8336.2000000000007</v>
      </c>
      <c r="E39" s="34">
        <v>8340</v>
      </c>
      <c r="F39" s="171">
        <v>43201</v>
      </c>
      <c r="G39" s="33">
        <f>IF(E39-D39&lt;0,E39-D39,0)*-1</f>
        <v>0</v>
      </c>
      <c r="H39" s="33">
        <f>IF(E39-D39&gt;0,E39-D39,0)</f>
        <v>3.7999999999992724</v>
      </c>
      <c r="I39" s="34"/>
      <c r="J39" s="34"/>
      <c r="K39" s="34">
        <v>5879.7</v>
      </c>
      <c r="L39" s="34"/>
      <c r="M39" s="36">
        <f>(+K39)*M$5</f>
        <v>126.41354999999999</v>
      </c>
      <c r="N39" s="36">
        <f>(+K39)*N$5</f>
        <v>29.398499999999999</v>
      </c>
      <c r="O39" s="36">
        <f>+K39-M39-N39+P39</f>
        <v>5723.8879499999994</v>
      </c>
      <c r="P39" s="36"/>
      <c r="Q39" s="37"/>
      <c r="R39" s="34"/>
      <c r="S39" s="34"/>
      <c r="T39" s="36"/>
      <c r="U39" s="36"/>
      <c r="V39" s="36"/>
      <c r="W39" s="36"/>
      <c r="X39" s="37"/>
      <c r="Y39" s="34"/>
      <c r="Z39" s="34">
        <f>273+12.25+180</f>
        <v>465.25</v>
      </c>
      <c r="AA39" s="34"/>
      <c r="AB39" s="34"/>
      <c r="AC39" s="34">
        <v>63.39</v>
      </c>
      <c r="AD39" s="38"/>
      <c r="AE39" s="38"/>
      <c r="AF39" s="34">
        <v>1082.58</v>
      </c>
      <c r="AG39" s="33">
        <f>(AF39*0.8)*0.85</f>
        <v>736.1543999999999</v>
      </c>
      <c r="AH39" s="33">
        <f>(AF39*0.8)*0.15</f>
        <v>129.90959999999998</v>
      </c>
      <c r="AI39" s="33">
        <f>AF39*0.2</f>
        <v>216.51599999999999</v>
      </c>
      <c r="AJ39" s="34"/>
      <c r="AK39" s="33">
        <f t="shared" ref="AK39:AK40" si="35">(C39-AF39-AJ39)/1.12</f>
        <v>12198.178571428571</v>
      </c>
      <c r="AL39" s="33">
        <f t="shared" ref="AL39:AL40" si="36">AK39-SUM(Y39:AC39)</f>
        <v>11669.538571428571</v>
      </c>
      <c r="AM39" s="33">
        <f t="shared" ref="AM39:AM40" si="37">+AL39*0.12</f>
        <v>1400.3446285714285</v>
      </c>
      <c r="AN39" s="33">
        <f t="shared" si="12"/>
        <v>13069.8832</v>
      </c>
      <c r="AO39" s="39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33">
        <f>SUM(AO39:AY39)</f>
        <v>0</v>
      </c>
      <c r="BA39" s="38"/>
      <c r="BB39" s="38"/>
      <c r="BC39" s="33">
        <f>SUM(BE39:BM39)*0.1+(BN39*0.5)</f>
        <v>0</v>
      </c>
      <c r="BD39" s="33">
        <f>SUM(BE39:BM39)+(BN39*0.5)</f>
        <v>0</v>
      </c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41">
        <f>AZ39+BA39+BB39+BD39-BC39</f>
        <v>0</v>
      </c>
      <c r="BT39" s="146"/>
      <c r="BU39" s="145"/>
      <c r="BV39" s="145"/>
      <c r="BW39" s="145"/>
      <c r="BX39" s="145"/>
      <c r="BY39" s="145"/>
      <c r="BZ39" s="145"/>
      <c r="CA39" s="145"/>
      <c r="CB39" s="145"/>
      <c r="CC39" s="145"/>
      <c r="CD39" s="145"/>
      <c r="CE39" s="145"/>
      <c r="CF39" s="145"/>
      <c r="CG39" s="145"/>
      <c r="CH39" s="145"/>
      <c r="CI39" s="145"/>
      <c r="CJ39" s="145"/>
      <c r="CK39" s="145"/>
      <c r="CL39" s="145"/>
      <c r="CM39" s="145"/>
      <c r="CN39" s="145"/>
      <c r="CO39" s="145"/>
      <c r="CP39" s="145"/>
      <c r="CQ39" s="145"/>
      <c r="CR39" s="145"/>
      <c r="CS39" s="145"/>
    </row>
    <row r="40" spans="1:125" ht="15.75" thickBot="1">
      <c r="A40" s="200"/>
      <c r="B40" s="16" t="s">
        <v>44</v>
      </c>
      <c r="C40" s="33">
        <v>17639.86</v>
      </c>
      <c r="D40" s="34">
        <v>9868.75</v>
      </c>
      <c r="E40" s="34">
        <v>9869</v>
      </c>
      <c r="F40" s="171">
        <v>43202</v>
      </c>
      <c r="G40" s="33">
        <f>IF(E40-D40&lt;0,E40-D40,0)*-1</f>
        <v>0</v>
      </c>
      <c r="H40" s="33">
        <f>IF(E40-D40&gt;0,E40-D40,0)</f>
        <v>0.25</v>
      </c>
      <c r="I40" s="34"/>
      <c r="J40" s="34"/>
      <c r="K40" s="34">
        <v>7699.03</v>
      </c>
      <c r="L40" s="34"/>
      <c r="M40" s="36">
        <f>(+K40)*M$5</f>
        <v>165.52914499999997</v>
      </c>
      <c r="N40" s="36">
        <f>(+K40)*N$5</f>
        <v>38.495150000000002</v>
      </c>
      <c r="O40" s="36">
        <f>+K40-M40-N40+P40</f>
        <v>7495.0057050000005</v>
      </c>
      <c r="P40" s="36"/>
      <c r="Q40" s="37"/>
      <c r="R40" s="34"/>
      <c r="S40" s="34"/>
      <c r="T40" s="36"/>
      <c r="U40" s="36"/>
      <c r="V40" s="36"/>
      <c r="W40" s="36"/>
      <c r="X40" s="37"/>
      <c r="Y40" s="34"/>
      <c r="Z40" s="34">
        <v>13.75</v>
      </c>
      <c r="AA40" s="34"/>
      <c r="AB40" s="34"/>
      <c r="AC40" s="34">
        <v>58.33</v>
      </c>
      <c r="AD40" s="38"/>
      <c r="AE40" s="38"/>
      <c r="AF40" s="34">
        <v>1350.86</v>
      </c>
      <c r="AG40" s="33">
        <f>(AF40*0.8)*0.85</f>
        <v>918.58479999999986</v>
      </c>
      <c r="AH40" s="33">
        <f>(AF40*0.8)*0.15</f>
        <v>162.10319999999999</v>
      </c>
      <c r="AI40" s="33">
        <f>AF40*0.2</f>
        <v>270.17199999999997</v>
      </c>
      <c r="AJ40" s="34"/>
      <c r="AK40" s="33">
        <f t="shared" si="35"/>
        <v>14543.749999999998</v>
      </c>
      <c r="AL40" s="33">
        <f t="shared" si="36"/>
        <v>14471.669999999998</v>
      </c>
      <c r="AM40" s="33">
        <f t="shared" si="37"/>
        <v>1736.6003999999998</v>
      </c>
      <c r="AN40" s="33">
        <f t="shared" si="12"/>
        <v>16208.270399999998</v>
      </c>
      <c r="AO40" s="39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33">
        <f>SUM(AO40:AY40)</f>
        <v>0</v>
      </c>
      <c r="BA40" s="38"/>
      <c r="BB40" s="38"/>
      <c r="BC40" s="33"/>
      <c r="BD40" s="33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41">
        <f>AZ40+BA40+BB40+BD40-BC40</f>
        <v>0</v>
      </c>
      <c r="BT40" s="146"/>
      <c r="BU40" s="145"/>
      <c r="BV40" s="145"/>
      <c r="BW40" s="145"/>
      <c r="BX40" s="145"/>
      <c r="BY40" s="145"/>
      <c r="BZ40" s="145"/>
      <c r="CA40" s="145"/>
      <c r="CB40" s="145"/>
      <c r="CC40" s="145"/>
      <c r="CD40" s="145"/>
      <c r="CE40" s="145"/>
      <c r="CF40" s="145"/>
      <c r="CG40" s="145"/>
      <c r="CH40" s="145"/>
      <c r="CI40" s="145"/>
      <c r="CJ40" s="145"/>
      <c r="CK40" s="145"/>
      <c r="CL40" s="145"/>
      <c r="CM40" s="145"/>
      <c r="CN40" s="145"/>
      <c r="CO40" s="145"/>
      <c r="CP40" s="145"/>
      <c r="CQ40" s="145"/>
      <c r="CR40" s="145"/>
      <c r="CS40" s="145"/>
    </row>
    <row r="41" spans="1:125" ht="15.75" thickBot="1">
      <c r="A41" s="42"/>
      <c r="B41" s="43"/>
      <c r="C41" s="44">
        <f>SUBTOTAL(9,C39:C40)</f>
        <v>32384.400000000001</v>
      </c>
      <c r="D41" s="45">
        <f>SUBTOTAL(9,D39:D40)</f>
        <v>18204.95</v>
      </c>
      <c r="E41" s="45">
        <f>SUBTOTAL(9,E39:E40)</f>
        <v>18209</v>
      </c>
      <c r="F41" s="172"/>
      <c r="G41" s="45">
        <f t="shared" ref="G41:P41" si="38">SUBTOTAL(9,G39:G40)</f>
        <v>0</v>
      </c>
      <c r="H41" s="45">
        <f t="shared" si="38"/>
        <v>4.0499999999992724</v>
      </c>
      <c r="I41" s="162">
        <f t="shared" si="38"/>
        <v>0</v>
      </c>
      <c r="J41" s="162">
        <f t="shared" si="38"/>
        <v>0</v>
      </c>
      <c r="K41" s="162">
        <f t="shared" si="38"/>
        <v>13578.73</v>
      </c>
      <c r="L41" s="162">
        <f t="shared" si="38"/>
        <v>0</v>
      </c>
      <c r="M41" s="46">
        <f t="shared" si="38"/>
        <v>291.94269499999996</v>
      </c>
      <c r="N41" s="46">
        <f t="shared" si="38"/>
        <v>67.893650000000008</v>
      </c>
      <c r="O41" s="46">
        <f t="shared" si="38"/>
        <v>13218.893655</v>
      </c>
      <c r="P41" s="46">
        <f t="shared" si="38"/>
        <v>0</v>
      </c>
      <c r="Q41" s="47"/>
      <c r="R41" s="45">
        <f t="shared" ref="R41:BQ41" si="39">SUBTOTAL(9,R39:R40)</f>
        <v>0</v>
      </c>
      <c r="S41" s="45">
        <f t="shared" si="39"/>
        <v>0</v>
      </c>
      <c r="T41" s="46">
        <f t="shared" si="39"/>
        <v>0</v>
      </c>
      <c r="U41" s="46">
        <f t="shared" si="39"/>
        <v>0</v>
      </c>
      <c r="V41" s="46">
        <f t="shared" si="39"/>
        <v>0</v>
      </c>
      <c r="W41" s="46">
        <f t="shared" si="39"/>
        <v>0</v>
      </c>
      <c r="X41" s="47"/>
      <c r="Y41" s="45">
        <f>SUBTOTAL(9,Y39:Y40)</f>
        <v>0</v>
      </c>
      <c r="Z41" s="45"/>
      <c r="AA41" s="45"/>
      <c r="AB41" s="45"/>
      <c r="AC41" s="45"/>
      <c r="AD41" s="48"/>
      <c r="AE41" s="48"/>
      <c r="AF41" s="45"/>
      <c r="AG41" s="44">
        <f t="shared" si="39"/>
        <v>1654.7391999999998</v>
      </c>
      <c r="AH41" s="44">
        <f t="shared" si="39"/>
        <v>292.01279999999997</v>
      </c>
      <c r="AI41" s="44">
        <f t="shared" si="39"/>
        <v>486.68799999999999</v>
      </c>
      <c r="AJ41" s="45">
        <f t="shared" si="39"/>
        <v>0</v>
      </c>
      <c r="AK41" s="44">
        <f t="shared" si="39"/>
        <v>26741.928571428569</v>
      </c>
      <c r="AL41" s="44">
        <f t="shared" si="39"/>
        <v>26141.208571428571</v>
      </c>
      <c r="AM41" s="44">
        <f t="shared" si="39"/>
        <v>3136.9450285714283</v>
      </c>
      <c r="AN41" s="44">
        <f t="shared" si="12"/>
        <v>29278.153599999998</v>
      </c>
      <c r="AO41" s="49">
        <f t="shared" si="39"/>
        <v>0</v>
      </c>
      <c r="AP41" s="49">
        <f t="shared" si="39"/>
        <v>0</v>
      </c>
      <c r="AQ41" s="49">
        <f t="shared" si="39"/>
        <v>0</v>
      </c>
      <c r="AR41" s="49">
        <f t="shared" si="39"/>
        <v>0</v>
      </c>
      <c r="AS41" s="49">
        <f t="shared" si="39"/>
        <v>0</v>
      </c>
      <c r="AT41" s="49">
        <f t="shared" si="39"/>
        <v>0</v>
      </c>
      <c r="AU41" s="49">
        <f>SUBTOTAL(9,AU39:AU40)</f>
        <v>0</v>
      </c>
      <c r="AV41" s="49">
        <f t="shared" si="39"/>
        <v>0</v>
      </c>
      <c r="AW41" s="49">
        <f t="shared" si="39"/>
        <v>0</v>
      </c>
      <c r="AX41" s="49">
        <f t="shared" si="39"/>
        <v>0</v>
      </c>
      <c r="AY41" s="49">
        <f t="shared" si="39"/>
        <v>0</v>
      </c>
      <c r="AZ41" s="44">
        <f t="shared" si="39"/>
        <v>0</v>
      </c>
      <c r="BA41" s="48">
        <f t="shared" si="39"/>
        <v>0</v>
      </c>
      <c r="BB41" s="48">
        <f t="shared" si="39"/>
        <v>0</v>
      </c>
      <c r="BC41" s="44">
        <f t="shared" si="39"/>
        <v>0</v>
      </c>
      <c r="BD41" s="44">
        <f t="shared" si="39"/>
        <v>0</v>
      </c>
      <c r="BE41" s="49">
        <f t="shared" si="39"/>
        <v>0</v>
      </c>
      <c r="BF41" s="49">
        <f>SUBTOTAL(9,BF39:BF40)</f>
        <v>0</v>
      </c>
      <c r="BG41" s="49">
        <f t="shared" si="39"/>
        <v>0</v>
      </c>
      <c r="BH41" s="49">
        <f t="shared" si="39"/>
        <v>0</v>
      </c>
      <c r="BI41" s="49">
        <f t="shared" si="39"/>
        <v>0</v>
      </c>
      <c r="BJ41" s="49">
        <f t="shared" si="39"/>
        <v>0</v>
      </c>
      <c r="BK41" s="49">
        <f t="shared" si="39"/>
        <v>0</v>
      </c>
      <c r="BL41" s="49">
        <f t="shared" si="39"/>
        <v>0</v>
      </c>
      <c r="BM41" s="49">
        <f t="shared" si="39"/>
        <v>0</v>
      </c>
      <c r="BN41" s="49">
        <f t="shared" si="39"/>
        <v>0</v>
      </c>
      <c r="BO41" s="49">
        <f t="shared" si="39"/>
        <v>0</v>
      </c>
      <c r="BP41" s="49">
        <f t="shared" si="39"/>
        <v>0</v>
      </c>
      <c r="BQ41" s="49">
        <f t="shared" si="39"/>
        <v>0</v>
      </c>
      <c r="BR41" s="44">
        <f>SUBTOTAL(9,BR39:BR40)</f>
        <v>0</v>
      </c>
    </row>
    <row r="42" spans="1:125">
      <c r="A42" s="199">
        <f>+A39+1</f>
        <v>43171</v>
      </c>
      <c r="B42" s="15" t="s">
        <v>43</v>
      </c>
      <c r="C42" s="33">
        <v>22234.69</v>
      </c>
      <c r="D42" s="34">
        <v>16345.98</v>
      </c>
      <c r="E42" s="34">
        <v>16347</v>
      </c>
      <c r="F42" s="171">
        <v>43202</v>
      </c>
      <c r="G42" s="33">
        <f>IF(E42-D42&lt;0,E42-D42,0)*-1</f>
        <v>0</v>
      </c>
      <c r="H42" s="33">
        <f>IF(E42-D42&gt;0,E42-D42,0)</f>
        <v>1.0200000000004366</v>
      </c>
      <c r="I42" s="34"/>
      <c r="J42" s="34"/>
      <c r="K42" s="34">
        <v>5591.3</v>
      </c>
      <c r="L42" s="34"/>
      <c r="M42" s="36">
        <f>(+K42)*M$5</f>
        <v>120.21294999999999</v>
      </c>
      <c r="N42" s="36">
        <f>(+K42)*N$5</f>
        <v>27.956500000000002</v>
      </c>
      <c r="O42" s="36">
        <f>+K42-M42-N42+P42</f>
        <v>5443.1305499999999</v>
      </c>
      <c r="P42" s="36"/>
      <c r="Q42" s="37"/>
      <c r="R42" s="34"/>
      <c r="S42" s="34"/>
      <c r="T42" s="36"/>
      <c r="U42" s="36"/>
      <c r="V42" s="36"/>
      <c r="W42" s="36"/>
      <c r="X42" s="37"/>
      <c r="Y42" s="34"/>
      <c r="Z42" s="34">
        <v>18.25</v>
      </c>
      <c r="AA42" s="34"/>
      <c r="AB42" s="34"/>
      <c r="AC42" s="34">
        <v>279.16000000000003</v>
      </c>
      <c r="AD42" s="38"/>
      <c r="AE42" s="38"/>
      <c r="AF42" s="34">
        <v>1759.19</v>
      </c>
      <c r="AG42" s="33">
        <f>(AF42*0.8)*0.85</f>
        <v>1196.2492</v>
      </c>
      <c r="AH42" s="33">
        <f>(AF42*0.8)*0.15</f>
        <v>211.1028</v>
      </c>
      <c r="AI42" s="33">
        <f>AF42*0.2</f>
        <v>351.83800000000002</v>
      </c>
      <c r="AJ42" s="34"/>
      <c r="AK42" s="33">
        <f>(C42-AF42-AJ42)/1.12</f>
        <v>18281.696428571428</v>
      </c>
      <c r="AL42" s="33">
        <f>AK42-SUM(Y42:AC42)</f>
        <v>17984.286428571428</v>
      </c>
      <c r="AM42" s="33">
        <f>+AL42*0.12</f>
        <v>2158.1143714285713</v>
      </c>
      <c r="AN42" s="33">
        <f t="shared" si="12"/>
        <v>20142.400799999999</v>
      </c>
      <c r="AO42" s="39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33">
        <f>SUM(AO42:AY42)</f>
        <v>0</v>
      </c>
      <c r="BA42" s="38"/>
      <c r="BB42" s="38"/>
      <c r="BC42" s="33">
        <f>SUM(BE42:BM42)*0.1+(BN42*0.5)</f>
        <v>0</v>
      </c>
      <c r="BD42" s="33">
        <f>SUM(BE42:BM42)+(BN42*0.5)</f>
        <v>0</v>
      </c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41">
        <f>AZ42+BA42+BB42+BD42-BC42</f>
        <v>0</v>
      </c>
      <c r="BT42" s="146"/>
      <c r="BU42" s="145"/>
      <c r="BV42" s="145"/>
      <c r="BW42" s="145"/>
      <c r="BX42" s="145"/>
      <c r="BY42" s="145"/>
      <c r="BZ42" s="145"/>
      <c r="CA42" s="145"/>
      <c r="CB42" s="145"/>
      <c r="CC42" s="145"/>
      <c r="CD42" s="145"/>
      <c r="CE42" s="145"/>
      <c r="CF42" s="145"/>
      <c r="CG42" s="145"/>
      <c r="CH42" s="145"/>
      <c r="CI42" s="145"/>
      <c r="CJ42" s="145"/>
      <c r="CK42" s="145"/>
      <c r="CL42" s="145"/>
      <c r="CM42" s="145"/>
      <c r="CN42" s="145"/>
      <c r="CO42" s="145"/>
      <c r="CP42" s="145"/>
      <c r="CQ42" s="145"/>
      <c r="CR42" s="145"/>
      <c r="CS42" s="145"/>
    </row>
    <row r="43" spans="1:125" ht="15.75" thickBot="1">
      <c r="A43" s="200"/>
      <c r="B43" s="15" t="s">
        <v>44</v>
      </c>
      <c r="C43" s="33">
        <v>15727.82</v>
      </c>
      <c r="D43" s="34">
        <v>13417.41</v>
      </c>
      <c r="E43" s="34">
        <v>13420</v>
      </c>
      <c r="F43" s="171">
        <v>43203</v>
      </c>
      <c r="G43" s="33">
        <f>IF(E43-D43&lt;0,E43-D43,0)*-1</f>
        <v>0</v>
      </c>
      <c r="H43" s="33">
        <f>IF(E43-D43&gt;0,E43-D43,0)</f>
        <v>2.5900000000001455</v>
      </c>
      <c r="I43" s="34"/>
      <c r="J43" s="34"/>
      <c r="K43" s="34">
        <v>1852.88</v>
      </c>
      <c r="L43" s="34"/>
      <c r="M43" s="36">
        <f>(+K43)*M$5</f>
        <v>39.836919999999999</v>
      </c>
      <c r="N43" s="36">
        <f>(+K43)*N$5</f>
        <v>9.2644000000000002</v>
      </c>
      <c r="O43" s="36">
        <f>+K43-M43-N43+P43</f>
        <v>1803.7786800000001</v>
      </c>
      <c r="P43" s="36"/>
      <c r="Q43" s="37"/>
      <c r="R43" s="34"/>
      <c r="S43" s="34"/>
      <c r="T43" s="36"/>
      <c r="U43" s="36"/>
      <c r="V43" s="36"/>
      <c r="W43" s="36"/>
      <c r="X43" s="37"/>
      <c r="Y43" s="34"/>
      <c r="Z43" s="34">
        <v>18.25</v>
      </c>
      <c r="AA43" s="34"/>
      <c r="AB43" s="34"/>
      <c r="AC43" s="34">
        <v>439.28</v>
      </c>
      <c r="AD43" s="38"/>
      <c r="AE43" s="38"/>
      <c r="AF43" s="34">
        <v>1087.4000000000001</v>
      </c>
      <c r="AG43" s="33">
        <f>(AF43*0.8)*0.85</f>
        <v>739.43200000000002</v>
      </c>
      <c r="AH43" s="33">
        <f>(AF43*0.8)*0.15</f>
        <v>130.488</v>
      </c>
      <c r="AI43" s="33">
        <f>AF43*0.2</f>
        <v>217.48000000000002</v>
      </c>
      <c r="AJ43" s="34"/>
      <c r="AK43" s="33">
        <f>(C43-AF43-AJ43)/1.12</f>
        <v>13071.803571428571</v>
      </c>
      <c r="AL43" s="33">
        <f>AK43-SUM(Y43:AC43)</f>
        <v>12614.27357142857</v>
      </c>
      <c r="AM43" s="33">
        <f>+AL43*0.12</f>
        <v>1513.7128285714284</v>
      </c>
      <c r="AN43" s="33">
        <f t="shared" si="12"/>
        <v>14127.986399999998</v>
      </c>
      <c r="AO43" s="39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33">
        <f>SUM(AO43:AY43)</f>
        <v>0</v>
      </c>
      <c r="BA43" s="38">
        <v>125</v>
      </c>
      <c r="BB43" s="38"/>
      <c r="BC43" s="33"/>
      <c r="BD43" s="33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41">
        <f>AZ43+BA43+BB43+BD43-BC43</f>
        <v>125</v>
      </c>
      <c r="BT43" s="146"/>
      <c r="BU43" s="145"/>
      <c r="BV43" s="145"/>
      <c r="BW43" s="145"/>
      <c r="BX43" s="145"/>
      <c r="BY43" s="145"/>
      <c r="BZ43" s="145"/>
      <c r="CA43" s="145"/>
      <c r="CB43" s="145"/>
      <c r="CC43" s="145"/>
      <c r="CD43" s="145"/>
      <c r="CE43" s="145"/>
      <c r="CF43" s="145"/>
      <c r="CG43" s="145"/>
      <c r="CH43" s="145"/>
      <c r="CI43" s="145"/>
      <c r="CJ43" s="145"/>
      <c r="CK43" s="145"/>
      <c r="CL43" s="145"/>
      <c r="CM43" s="145"/>
      <c r="CN43" s="145"/>
      <c r="CO43" s="145"/>
      <c r="CP43" s="145"/>
      <c r="CQ43" s="145"/>
      <c r="CR43" s="145"/>
      <c r="CS43" s="145"/>
    </row>
    <row r="44" spans="1:125" ht="15.75" thickBot="1">
      <c r="A44" s="42"/>
      <c r="B44" s="43"/>
      <c r="C44" s="44">
        <f>SUBTOTAL(9,C42:C43)</f>
        <v>37962.509999999995</v>
      </c>
      <c r="D44" s="45">
        <f>SUBTOTAL(9,D42:D43)</f>
        <v>29763.39</v>
      </c>
      <c r="E44" s="45">
        <f>SUBTOTAL(9,E42:E43)</f>
        <v>29767</v>
      </c>
      <c r="F44" s="172"/>
      <c r="G44" s="45">
        <f t="shared" ref="G44:P44" si="40">SUBTOTAL(9,G42:G43)</f>
        <v>0</v>
      </c>
      <c r="H44" s="45">
        <f t="shared" si="40"/>
        <v>3.6100000000005821</v>
      </c>
      <c r="I44" s="162">
        <f t="shared" si="40"/>
        <v>0</v>
      </c>
      <c r="J44" s="162">
        <f t="shared" si="40"/>
        <v>0</v>
      </c>
      <c r="K44" s="162">
        <f t="shared" si="40"/>
        <v>7444.18</v>
      </c>
      <c r="L44" s="162">
        <f t="shared" si="40"/>
        <v>0</v>
      </c>
      <c r="M44" s="46">
        <f t="shared" si="40"/>
        <v>160.04987</v>
      </c>
      <c r="N44" s="46">
        <f t="shared" si="40"/>
        <v>37.2209</v>
      </c>
      <c r="O44" s="46">
        <f t="shared" si="40"/>
        <v>7246.9092300000002</v>
      </c>
      <c r="P44" s="46">
        <f t="shared" si="40"/>
        <v>0</v>
      </c>
      <c r="Q44" s="47"/>
      <c r="R44" s="45">
        <f t="shared" ref="R44:BQ44" si="41">SUBTOTAL(9,R42:R43)</f>
        <v>0</v>
      </c>
      <c r="S44" s="45">
        <f t="shared" si="41"/>
        <v>0</v>
      </c>
      <c r="T44" s="46">
        <f t="shared" si="41"/>
        <v>0</v>
      </c>
      <c r="U44" s="46">
        <f t="shared" si="41"/>
        <v>0</v>
      </c>
      <c r="V44" s="46">
        <f t="shared" si="41"/>
        <v>0</v>
      </c>
      <c r="W44" s="46">
        <f t="shared" si="41"/>
        <v>0</v>
      </c>
      <c r="X44" s="47"/>
      <c r="Y44" s="45">
        <f>SUBTOTAL(9,Y42:Y43)</f>
        <v>0</v>
      </c>
      <c r="Z44" s="45"/>
      <c r="AA44" s="45"/>
      <c r="AB44" s="45"/>
      <c r="AC44" s="45"/>
      <c r="AD44" s="48"/>
      <c r="AE44" s="48"/>
      <c r="AF44" s="45"/>
      <c r="AG44" s="44">
        <f t="shared" si="41"/>
        <v>1935.6812</v>
      </c>
      <c r="AH44" s="44">
        <f t="shared" si="41"/>
        <v>341.5908</v>
      </c>
      <c r="AI44" s="44">
        <f t="shared" si="41"/>
        <v>569.31799999999998</v>
      </c>
      <c r="AJ44" s="45">
        <f t="shared" si="41"/>
        <v>0</v>
      </c>
      <c r="AK44" s="44">
        <f t="shared" si="41"/>
        <v>31353.5</v>
      </c>
      <c r="AL44" s="44">
        <f t="shared" si="41"/>
        <v>30598.559999999998</v>
      </c>
      <c r="AM44" s="44">
        <f t="shared" si="41"/>
        <v>3671.8271999999997</v>
      </c>
      <c r="AN44" s="44">
        <f t="shared" ref="AN44:AN76" si="42">+AM44+AL44+AJ44</f>
        <v>34270.387199999997</v>
      </c>
      <c r="AO44" s="49">
        <f t="shared" si="41"/>
        <v>0</v>
      </c>
      <c r="AP44" s="49">
        <f t="shared" si="41"/>
        <v>0</v>
      </c>
      <c r="AQ44" s="49">
        <f t="shared" si="41"/>
        <v>0</v>
      </c>
      <c r="AR44" s="49">
        <f t="shared" si="41"/>
        <v>0</v>
      </c>
      <c r="AS44" s="49">
        <f t="shared" si="41"/>
        <v>0</v>
      </c>
      <c r="AT44" s="49">
        <f t="shared" si="41"/>
        <v>0</v>
      </c>
      <c r="AU44" s="49">
        <f>SUBTOTAL(9,AU42:AU43)</f>
        <v>0</v>
      </c>
      <c r="AV44" s="49">
        <f t="shared" si="41"/>
        <v>0</v>
      </c>
      <c r="AW44" s="49">
        <f t="shared" si="41"/>
        <v>0</v>
      </c>
      <c r="AX44" s="49">
        <f t="shared" si="41"/>
        <v>0</v>
      </c>
      <c r="AY44" s="49">
        <f t="shared" si="41"/>
        <v>0</v>
      </c>
      <c r="AZ44" s="44">
        <f t="shared" si="41"/>
        <v>0</v>
      </c>
      <c r="BA44" s="48">
        <f t="shared" si="41"/>
        <v>125</v>
      </c>
      <c r="BB44" s="48">
        <f t="shared" si="41"/>
        <v>0</v>
      </c>
      <c r="BC44" s="44">
        <f t="shared" si="41"/>
        <v>0</v>
      </c>
      <c r="BD44" s="44">
        <f t="shared" si="41"/>
        <v>0</v>
      </c>
      <c r="BE44" s="49">
        <f t="shared" si="41"/>
        <v>0</v>
      </c>
      <c r="BF44" s="49">
        <f>SUBTOTAL(9,BF42:BF43)</f>
        <v>0</v>
      </c>
      <c r="BG44" s="49">
        <f t="shared" si="41"/>
        <v>0</v>
      </c>
      <c r="BH44" s="49">
        <f t="shared" si="41"/>
        <v>0</v>
      </c>
      <c r="BI44" s="49">
        <f t="shared" si="41"/>
        <v>0</v>
      </c>
      <c r="BJ44" s="49">
        <f t="shared" si="41"/>
        <v>0</v>
      </c>
      <c r="BK44" s="49">
        <f t="shared" si="41"/>
        <v>0</v>
      </c>
      <c r="BL44" s="49">
        <f t="shared" si="41"/>
        <v>0</v>
      </c>
      <c r="BM44" s="49">
        <f t="shared" si="41"/>
        <v>0</v>
      </c>
      <c r="BN44" s="49">
        <f t="shared" si="41"/>
        <v>0</v>
      </c>
      <c r="BO44" s="49">
        <f t="shared" si="41"/>
        <v>0</v>
      </c>
      <c r="BP44" s="49">
        <f t="shared" si="41"/>
        <v>0</v>
      </c>
      <c r="BQ44" s="49">
        <f t="shared" si="41"/>
        <v>0</v>
      </c>
      <c r="BR44" s="44">
        <f>SUBTOTAL(9,BR42:BR43)</f>
        <v>125</v>
      </c>
    </row>
    <row r="45" spans="1:125">
      <c r="A45" s="199">
        <f>+A42+1</f>
        <v>43172</v>
      </c>
      <c r="B45" s="15" t="s">
        <v>43</v>
      </c>
      <c r="C45" s="33">
        <v>36697.97</v>
      </c>
      <c r="D45" s="34">
        <v>20279.060000000001</v>
      </c>
      <c r="E45" s="34">
        <v>20280</v>
      </c>
      <c r="F45" s="171">
        <v>43203</v>
      </c>
      <c r="G45" s="33">
        <v>0</v>
      </c>
      <c r="H45" s="33">
        <f>IF(E45-D45&gt;0,E45-D45,0)</f>
        <v>0.93999999999869033</v>
      </c>
      <c r="I45" s="34"/>
      <c r="J45" s="34"/>
      <c r="K45" s="34">
        <v>16172.88</v>
      </c>
      <c r="L45" s="34"/>
      <c r="M45" s="36">
        <f>(+K45)*M$5</f>
        <v>347.71691999999996</v>
      </c>
      <c r="N45" s="36">
        <f>(+K45)*N$5</f>
        <v>80.864400000000003</v>
      </c>
      <c r="O45" s="36">
        <f>+K45-M45-N45+P45</f>
        <v>15744.298679999998</v>
      </c>
      <c r="P45" s="36"/>
      <c r="Q45" s="37"/>
      <c r="R45" s="34"/>
      <c r="S45" s="34"/>
      <c r="T45" s="36"/>
      <c r="U45" s="36"/>
      <c r="V45" s="36"/>
      <c r="W45" s="36"/>
      <c r="X45" s="37"/>
      <c r="Y45" s="34"/>
      <c r="Z45" s="34">
        <v>140.5</v>
      </c>
      <c r="AA45" s="34"/>
      <c r="AB45" s="34"/>
      <c r="AC45" s="34">
        <v>105.53</v>
      </c>
      <c r="AD45" s="38"/>
      <c r="AE45" s="38"/>
      <c r="AF45" s="34">
        <v>2925.3</v>
      </c>
      <c r="AG45" s="33">
        <f>(AF45*0.8)*0.85</f>
        <v>1989.2040000000002</v>
      </c>
      <c r="AH45" s="33">
        <f>(AF45*0.8)*0.15</f>
        <v>351.036</v>
      </c>
      <c r="AI45" s="33">
        <f>AF45*0.2</f>
        <v>585.06000000000006</v>
      </c>
      <c r="AJ45" s="34"/>
      <c r="AK45" s="33">
        <f>(C45-AF45-AJ45)/1.12</f>
        <v>30154.169642857138</v>
      </c>
      <c r="AL45" s="33">
        <f>AK45-SUM(Y45:AC45)</f>
        <v>29908.139642857139</v>
      </c>
      <c r="AM45" s="33">
        <f>+AL45*0.12</f>
        <v>3588.9767571428565</v>
      </c>
      <c r="AN45" s="33">
        <f t="shared" si="42"/>
        <v>33497.116399999999</v>
      </c>
      <c r="AO45" s="39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33">
        <f>SUM(AO45:AY45)</f>
        <v>0</v>
      </c>
      <c r="BA45" s="38"/>
      <c r="BB45" s="38"/>
      <c r="BC45" s="33">
        <f>SUM(BE45:BM45)*0.1+(BN45*0.5)</f>
        <v>0</v>
      </c>
      <c r="BD45" s="33">
        <f>SUM(BE45:BM45)+(BN45*0.5)</f>
        <v>0</v>
      </c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41">
        <f>AZ45+BA45+BB45+BD45-BC45</f>
        <v>0</v>
      </c>
      <c r="BT45" s="146"/>
      <c r="BU45" s="145"/>
      <c r="BV45" s="145"/>
      <c r="BW45" s="145"/>
      <c r="BX45" s="145"/>
      <c r="BY45" s="145"/>
      <c r="BZ45" s="145"/>
      <c r="CA45" s="145"/>
      <c r="CB45" s="145"/>
      <c r="CC45" s="145"/>
      <c r="CD45" s="145"/>
      <c r="CE45" s="145"/>
      <c r="CF45" s="145"/>
      <c r="CG45" s="145"/>
      <c r="CH45" s="145"/>
      <c r="CI45" s="145"/>
      <c r="CJ45" s="145"/>
      <c r="CK45" s="145"/>
      <c r="CL45" s="145"/>
      <c r="CM45" s="145"/>
      <c r="CN45" s="145"/>
      <c r="CO45" s="145"/>
      <c r="CP45" s="145"/>
      <c r="CQ45" s="145"/>
      <c r="CR45" s="145"/>
      <c r="CS45" s="145"/>
    </row>
    <row r="46" spans="1:125" ht="15.75" thickBot="1">
      <c r="A46" s="200"/>
      <c r="B46" s="15" t="s">
        <v>44</v>
      </c>
      <c r="C46" s="33">
        <v>39554.42</v>
      </c>
      <c r="D46" s="34">
        <v>19895.93</v>
      </c>
      <c r="E46" s="34">
        <v>19900</v>
      </c>
      <c r="F46" s="171">
        <v>43204</v>
      </c>
      <c r="G46" s="33">
        <f>IF(E46-D46&lt;0,E46-D46,0)*-1</f>
        <v>0</v>
      </c>
      <c r="H46" s="33">
        <f>IF(E46-D46&gt;0,E46-D46,0)</f>
        <v>4.069999999999709</v>
      </c>
      <c r="I46" s="34"/>
      <c r="J46" s="34"/>
      <c r="K46" s="34">
        <v>19545.099999999999</v>
      </c>
      <c r="L46" s="34"/>
      <c r="M46" s="36">
        <f>(+K46)*M$5</f>
        <v>420.21964999999994</v>
      </c>
      <c r="N46" s="36">
        <f>(+K46)*N$5</f>
        <v>97.725499999999997</v>
      </c>
      <c r="O46" s="36">
        <f>+K46-M46-N46+P46</f>
        <v>19027.154849999999</v>
      </c>
      <c r="P46" s="36"/>
      <c r="Q46" s="37"/>
      <c r="R46" s="34"/>
      <c r="S46" s="34"/>
      <c r="T46" s="36"/>
      <c r="U46" s="36"/>
      <c r="V46" s="36"/>
      <c r="W46" s="36"/>
      <c r="X46" s="37"/>
      <c r="Y46" s="34"/>
      <c r="Z46" s="34"/>
      <c r="AA46" s="34"/>
      <c r="AB46" s="34"/>
      <c r="AC46" s="34">
        <v>113.39</v>
      </c>
      <c r="AD46" s="38"/>
      <c r="AE46" s="38"/>
      <c r="AF46" s="34">
        <v>3134.46</v>
      </c>
      <c r="AG46" s="33">
        <f>(AF46*0.8)*0.85</f>
        <v>2131.4328</v>
      </c>
      <c r="AH46" s="33">
        <f>(AF46*0.8)*0.15</f>
        <v>376.1352</v>
      </c>
      <c r="AI46" s="33">
        <f>AF46*0.2</f>
        <v>626.89200000000005</v>
      </c>
      <c r="AJ46" s="34"/>
      <c r="AK46" s="33">
        <f>(C46-AF46-AJ46)/1.12</f>
        <v>32517.821428571424</v>
      </c>
      <c r="AL46" s="33">
        <f>AK46-SUM(Y46:AC46)</f>
        <v>32404.431428571424</v>
      </c>
      <c r="AM46" s="33">
        <f>+AL46*0.12</f>
        <v>3888.5317714285707</v>
      </c>
      <c r="AN46" s="33">
        <f t="shared" si="42"/>
        <v>36292.963199999998</v>
      </c>
      <c r="AO46" s="39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33">
        <f>SUM(AO46:AY46)</f>
        <v>0</v>
      </c>
      <c r="BA46" s="38"/>
      <c r="BB46" s="38"/>
      <c r="BC46" s="33"/>
      <c r="BD46" s="33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41">
        <f>AZ46+BA46+BB46+BD46-BC46</f>
        <v>0</v>
      </c>
      <c r="BT46" s="146"/>
      <c r="BU46" s="145"/>
      <c r="BV46" s="145"/>
      <c r="BW46" s="145"/>
      <c r="BX46" s="145"/>
      <c r="BY46" s="145"/>
      <c r="BZ46" s="145"/>
      <c r="CA46" s="145"/>
      <c r="CB46" s="145"/>
      <c r="CC46" s="145"/>
      <c r="CD46" s="145"/>
      <c r="CE46" s="145"/>
      <c r="CF46" s="145"/>
      <c r="CG46" s="145"/>
      <c r="CH46" s="145"/>
      <c r="CI46" s="145"/>
      <c r="CJ46" s="145"/>
      <c r="CK46" s="145"/>
      <c r="CL46" s="145"/>
      <c r="CM46" s="145"/>
      <c r="CN46" s="145"/>
      <c r="CO46" s="145"/>
      <c r="CP46" s="145"/>
      <c r="CQ46" s="145"/>
      <c r="CR46" s="145"/>
      <c r="CS46" s="145"/>
    </row>
    <row r="47" spans="1:125" ht="15.75" thickBot="1">
      <c r="A47" s="42"/>
      <c r="B47" s="43"/>
      <c r="C47" s="44">
        <f>SUBTOTAL(9,C45:C46)</f>
        <v>76252.39</v>
      </c>
      <c r="D47" s="45">
        <f>SUBTOTAL(9,D45:D46)</f>
        <v>40174.990000000005</v>
      </c>
      <c r="E47" s="45">
        <f>SUBTOTAL(9,E45:E46)</f>
        <v>40180</v>
      </c>
      <c r="F47" s="172"/>
      <c r="G47" s="45">
        <f t="shared" ref="G47:P47" si="43">SUBTOTAL(9,G45:G46)</f>
        <v>0</v>
      </c>
      <c r="H47" s="45">
        <f t="shared" si="43"/>
        <v>5.0099999999983993</v>
      </c>
      <c r="I47" s="162">
        <f t="shared" si="43"/>
        <v>0</v>
      </c>
      <c r="J47" s="162">
        <f t="shared" si="43"/>
        <v>0</v>
      </c>
      <c r="K47" s="162">
        <f t="shared" si="43"/>
        <v>35717.979999999996</v>
      </c>
      <c r="L47" s="162">
        <f t="shared" si="43"/>
        <v>0</v>
      </c>
      <c r="M47" s="46">
        <f t="shared" si="43"/>
        <v>767.93656999999985</v>
      </c>
      <c r="N47" s="46">
        <f t="shared" si="43"/>
        <v>178.5899</v>
      </c>
      <c r="O47" s="46">
        <f t="shared" si="43"/>
        <v>34771.453529999999</v>
      </c>
      <c r="P47" s="46">
        <f t="shared" si="43"/>
        <v>0</v>
      </c>
      <c r="Q47" s="47"/>
      <c r="R47" s="45">
        <f t="shared" ref="R47:BQ47" si="44">SUBTOTAL(9,R45:R46)</f>
        <v>0</v>
      </c>
      <c r="S47" s="45">
        <f t="shared" si="44"/>
        <v>0</v>
      </c>
      <c r="T47" s="46">
        <f t="shared" si="44"/>
        <v>0</v>
      </c>
      <c r="U47" s="46">
        <f t="shared" si="44"/>
        <v>0</v>
      </c>
      <c r="V47" s="46">
        <f t="shared" si="44"/>
        <v>0</v>
      </c>
      <c r="W47" s="46">
        <f t="shared" si="44"/>
        <v>0</v>
      </c>
      <c r="X47" s="47"/>
      <c r="Y47" s="45">
        <f>SUBTOTAL(9,Y45:Y46)</f>
        <v>0</v>
      </c>
      <c r="Z47" s="45"/>
      <c r="AA47" s="45"/>
      <c r="AB47" s="45"/>
      <c r="AC47" s="45"/>
      <c r="AD47" s="48"/>
      <c r="AE47" s="48"/>
      <c r="AF47" s="45"/>
      <c r="AG47" s="44">
        <f t="shared" si="44"/>
        <v>4120.6368000000002</v>
      </c>
      <c r="AH47" s="44">
        <f t="shared" si="44"/>
        <v>727.1712</v>
      </c>
      <c r="AI47" s="44">
        <f t="shared" si="44"/>
        <v>1211.9520000000002</v>
      </c>
      <c r="AJ47" s="45">
        <f t="shared" si="44"/>
        <v>0</v>
      </c>
      <c r="AK47" s="44">
        <f t="shared" si="44"/>
        <v>62671.991071428565</v>
      </c>
      <c r="AL47" s="44">
        <f t="shared" si="44"/>
        <v>62312.571071428567</v>
      </c>
      <c r="AM47" s="44">
        <f t="shared" si="44"/>
        <v>7477.5085285714267</v>
      </c>
      <c r="AN47" s="44">
        <f t="shared" si="42"/>
        <v>69790.079599999997</v>
      </c>
      <c r="AO47" s="49">
        <f t="shared" si="44"/>
        <v>0</v>
      </c>
      <c r="AP47" s="49">
        <f t="shared" si="44"/>
        <v>0</v>
      </c>
      <c r="AQ47" s="49">
        <f t="shared" si="44"/>
        <v>0</v>
      </c>
      <c r="AR47" s="49">
        <f t="shared" si="44"/>
        <v>0</v>
      </c>
      <c r="AS47" s="49">
        <f t="shared" si="44"/>
        <v>0</v>
      </c>
      <c r="AT47" s="49">
        <f t="shared" si="44"/>
        <v>0</v>
      </c>
      <c r="AU47" s="49">
        <f>SUBTOTAL(9,AU45:AU46)</f>
        <v>0</v>
      </c>
      <c r="AV47" s="49">
        <f t="shared" si="44"/>
        <v>0</v>
      </c>
      <c r="AW47" s="49">
        <f t="shared" si="44"/>
        <v>0</v>
      </c>
      <c r="AX47" s="49">
        <f t="shared" si="44"/>
        <v>0</v>
      </c>
      <c r="AY47" s="49">
        <f t="shared" si="44"/>
        <v>0</v>
      </c>
      <c r="AZ47" s="44">
        <f t="shared" si="44"/>
        <v>0</v>
      </c>
      <c r="BA47" s="48">
        <f t="shared" si="44"/>
        <v>0</v>
      </c>
      <c r="BB47" s="48">
        <f t="shared" si="44"/>
        <v>0</v>
      </c>
      <c r="BC47" s="44">
        <f t="shared" si="44"/>
        <v>0</v>
      </c>
      <c r="BD47" s="44">
        <f t="shared" si="44"/>
        <v>0</v>
      </c>
      <c r="BE47" s="49">
        <f t="shared" si="44"/>
        <v>0</v>
      </c>
      <c r="BF47" s="49">
        <f>SUBTOTAL(9,BF45:BF46)</f>
        <v>0</v>
      </c>
      <c r="BG47" s="49">
        <f t="shared" si="44"/>
        <v>0</v>
      </c>
      <c r="BH47" s="49">
        <f t="shared" si="44"/>
        <v>0</v>
      </c>
      <c r="BI47" s="49">
        <f t="shared" si="44"/>
        <v>0</v>
      </c>
      <c r="BJ47" s="49">
        <f t="shared" si="44"/>
        <v>0</v>
      </c>
      <c r="BK47" s="49">
        <f t="shared" si="44"/>
        <v>0</v>
      </c>
      <c r="BL47" s="49">
        <f t="shared" si="44"/>
        <v>0</v>
      </c>
      <c r="BM47" s="49">
        <f t="shared" si="44"/>
        <v>0</v>
      </c>
      <c r="BN47" s="49">
        <f t="shared" si="44"/>
        <v>0</v>
      </c>
      <c r="BO47" s="49">
        <f t="shared" si="44"/>
        <v>0</v>
      </c>
      <c r="BP47" s="49">
        <f t="shared" si="44"/>
        <v>0</v>
      </c>
      <c r="BQ47" s="49">
        <f t="shared" si="44"/>
        <v>0</v>
      </c>
      <c r="BR47" s="44">
        <f>SUBTOTAL(9,BR45:BR46)</f>
        <v>0</v>
      </c>
    </row>
    <row r="48" spans="1:125">
      <c r="A48" s="199">
        <f>A45+1</f>
        <v>43173</v>
      </c>
      <c r="B48" s="16" t="s">
        <v>43</v>
      </c>
      <c r="C48" s="33" t="s">
        <v>157</v>
      </c>
      <c r="D48" s="34"/>
      <c r="E48" s="34"/>
      <c r="F48" s="171"/>
      <c r="G48" s="33">
        <f>IF(E48-D48&lt;0,E48-D48,0)*-1</f>
        <v>0</v>
      </c>
      <c r="H48" s="33">
        <f>IF(E48-D48&gt;0,E48-D48,0)</f>
        <v>0</v>
      </c>
      <c r="I48" s="34"/>
      <c r="J48" s="34">
        <v>0</v>
      </c>
      <c r="K48" s="34"/>
      <c r="L48" s="34"/>
      <c r="M48" s="36">
        <f>(+K48)*M$5</f>
        <v>0</v>
      </c>
      <c r="N48" s="36">
        <f>(+K48)*N$5</f>
        <v>0</v>
      </c>
      <c r="O48" s="36">
        <f>+K48-M48-N48+P48</f>
        <v>0</v>
      </c>
      <c r="P48" s="36"/>
      <c r="Q48" s="37"/>
      <c r="R48" s="34"/>
      <c r="S48" s="34"/>
      <c r="T48" s="36"/>
      <c r="U48" s="36"/>
      <c r="V48" s="36"/>
      <c r="W48" s="36"/>
      <c r="X48" s="37"/>
      <c r="Y48" s="34"/>
      <c r="Z48" s="34"/>
      <c r="AA48" s="34"/>
      <c r="AB48" s="34"/>
      <c r="AC48" s="34"/>
      <c r="AD48" s="38"/>
      <c r="AE48" s="38"/>
      <c r="AF48" s="34"/>
      <c r="AG48" s="33">
        <f>(AF48*0.8)*0.85</f>
        <v>0</v>
      </c>
      <c r="AH48" s="33">
        <f>(AF48*0.8)*0.15</f>
        <v>0</v>
      </c>
      <c r="AI48" s="33">
        <f>AF48*0.2</f>
        <v>0</v>
      </c>
      <c r="AJ48" s="34"/>
      <c r="AK48" s="33">
        <v>0</v>
      </c>
      <c r="AL48" s="33">
        <f>AK48-SUM(Y48:AC48)</f>
        <v>0</v>
      </c>
      <c r="AM48" s="33">
        <f>+AL48*0.12</f>
        <v>0</v>
      </c>
      <c r="AN48" s="33">
        <f t="shared" ref="AN48:AN49" si="45">+AM48+AL48+AJ48</f>
        <v>0</v>
      </c>
      <c r="AO48" s="39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33">
        <f>SUM(AO48:AY48)</f>
        <v>0</v>
      </c>
      <c r="BA48" s="38"/>
      <c r="BB48" s="38"/>
      <c r="BC48" s="33">
        <f>SUM(BE48:BM48)*0.1+(BN48*0.5)</f>
        <v>0</v>
      </c>
      <c r="BD48" s="33">
        <f>SUM(BE48:BM48)+(BN48*0.5)</f>
        <v>0</v>
      </c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41">
        <f>AZ48+BA48+BB48+BD48-BC48</f>
        <v>0</v>
      </c>
      <c r="BT48" s="146"/>
      <c r="BU48" s="145"/>
      <c r="BV48" s="145"/>
      <c r="BW48" s="145"/>
      <c r="BX48" s="145"/>
      <c r="BY48" s="145"/>
      <c r="BZ48" s="145"/>
      <c r="CA48" s="145"/>
      <c r="CB48" s="145"/>
      <c r="CC48" s="145"/>
      <c r="CD48" s="145"/>
      <c r="CE48" s="145"/>
      <c r="CF48" s="145"/>
      <c r="CG48" s="145"/>
      <c r="CH48" s="145"/>
      <c r="CI48" s="145"/>
      <c r="CJ48" s="145"/>
      <c r="CK48" s="145"/>
      <c r="CL48" s="145"/>
      <c r="CM48" s="145"/>
      <c r="CN48" s="145"/>
      <c r="CO48" s="145"/>
      <c r="CP48" s="145"/>
      <c r="CQ48" s="145"/>
      <c r="CR48" s="145"/>
      <c r="CS48" s="145"/>
    </row>
    <row r="49" spans="1:97" ht="15.75" thickBot="1">
      <c r="A49" s="200"/>
      <c r="B49" s="16" t="s">
        <v>44</v>
      </c>
      <c r="C49" s="33">
        <v>9471.07</v>
      </c>
      <c r="D49" s="34">
        <v>6173.37</v>
      </c>
      <c r="E49" s="34">
        <v>6175</v>
      </c>
      <c r="F49" s="171">
        <v>43206</v>
      </c>
      <c r="G49" s="33">
        <f>IF(E49-D49&lt;0,E49-D49,0)*-1</f>
        <v>0</v>
      </c>
      <c r="H49" s="33">
        <f>IF(E49-D49&gt;0,E49-D49,0)</f>
        <v>1.6300000000001091</v>
      </c>
      <c r="I49" s="34"/>
      <c r="J49" s="34"/>
      <c r="K49" s="34">
        <v>3201.42</v>
      </c>
      <c r="L49" s="34"/>
      <c r="M49" s="36">
        <f>(+K49)*M$5</f>
        <v>68.830529999999996</v>
      </c>
      <c r="N49" s="36">
        <f>(+K49)*N$5</f>
        <v>16.007100000000001</v>
      </c>
      <c r="O49" s="36">
        <f>+K49-M49-N49+P49</f>
        <v>3116.5823700000001</v>
      </c>
      <c r="P49" s="36"/>
      <c r="Q49" s="37"/>
      <c r="R49" s="34"/>
      <c r="S49" s="34"/>
      <c r="T49" s="36"/>
      <c r="U49" s="36"/>
      <c r="V49" s="36"/>
      <c r="W49" s="36"/>
      <c r="X49" s="37"/>
      <c r="Y49" s="34"/>
      <c r="Z49" s="34"/>
      <c r="AA49" s="34"/>
      <c r="AB49" s="34"/>
      <c r="AC49" s="34">
        <v>96.28</v>
      </c>
      <c r="AD49" s="38"/>
      <c r="AE49" s="38"/>
      <c r="AF49" s="34">
        <v>739.84</v>
      </c>
      <c r="AG49" s="33">
        <f>(AF49*0.8)*0.85</f>
        <v>503.09120000000007</v>
      </c>
      <c r="AH49" s="33">
        <f>(AF49*0.8)*0.15</f>
        <v>88.780800000000013</v>
      </c>
      <c r="AI49" s="33">
        <f>AF49*0.2</f>
        <v>147.96800000000002</v>
      </c>
      <c r="AJ49" s="34"/>
      <c r="AK49" s="33">
        <f>(C49-AF49-AJ49)/1.12</f>
        <v>7795.7410714285706</v>
      </c>
      <c r="AL49" s="33">
        <f>AK49-SUM(Y49:AC49)</f>
        <v>7699.4610714285709</v>
      </c>
      <c r="AM49" s="33">
        <f>+AL49*0.12</f>
        <v>923.9353285714285</v>
      </c>
      <c r="AN49" s="33">
        <f t="shared" si="45"/>
        <v>8623.3963999999996</v>
      </c>
      <c r="AO49" s="39"/>
      <c r="AP49" s="40">
        <v>470</v>
      </c>
      <c r="AQ49" s="40"/>
      <c r="AR49" s="40">
        <v>275</v>
      </c>
      <c r="AS49" s="40"/>
      <c r="AT49" s="40"/>
      <c r="AU49" s="40"/>
      <c r="AV49" s="40"/>
      <c r="AW49" s="40"/>
      <c r="AX49" s="40"/>
      <c r="AY49" s="40"/>
      <c r="AZ49" s="33">
        <f>SUM(AO49:AY49)</f>
        <v>745</v>
      </c>
      <c r="BA49" s="38"/>
      <c r="BB49" s="38"/>
      <c r="BC49" s="33">
        <v>0</v>
      </c>
      <c r="BD49" s="33">
        <v>0</v>
      </c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41">
        <f>AZ49+BA49+BB49+BD49-BC49</f>
        <v>745</v>
      </c>
      <c r="BT49" s="146"/>
      <c r="BU49" s="145"/>
      <c r="BV49" s="145"/>
      <c r="BW49" s="145"/>
      <c r="BX49" s="145"/>
      <c r="BY49" s="145"/>
      <c r="BZ49" s="145"/>
      <c r="CA49" s="145"/>
      <c r="CB49" s="145"/>
      <c r="CC49" s="145"/>
      <c r="CD49" s="145"/>
      <c r="CE49" s="145"/>
      <c r="CF49" s="145"/>
      <c r="CG49" s="145"/>
      <c r="CH49" s="145"/>
      <c r="CI49" s="145"/>
      <c r="CJ49" s="145"/>
      <c r="CK49" s="145"/>
      <c r="CL49" s="145"/>
      <c r="CM49" s="145"/>
      <c r="CN49" s="145"/>
      <c r="CO49" s="145"/>
      <c r="CP49" s="145"/>
      <c r="CQ49" s="145"/>
      <c r="CR49" s="145"/>
      <c r="CS49" s="145"/>
    </row>
    <row r="50" spans="1:97" ht="15.75" thickBot="1">
      <c r="A50" s="42"/>
      <c r="B50" s="43"/>
      <c r="C50" s="44">
        <f>SUBTOTAL(9,C48:C49)</f>
        <v>9471.07</v>
      </c>
      <c r="D50" s="45">
        <f>SUBTOTAL(9,D48:D49)</f>
        <v>6173.37</v>
      </c>
      <c r="E50" s="45">
        <f>SUBTOTAL(9,E48:E49)</f>
        <v>6175</v>
      </c>
      <c r="F50" s="172"/>
      <c r="G50" s="45">
        <f t="shared" ref="G50:P50" si="46">SUBTOTAL(9,G48:G49)</f>
        <v>0</v>
      </c>
      <c r="H50" s="45">
        <f t="shared" si="46"/>
        <v>1.6300000000001091</v>
      </c>
      <c r="I50" s="162">
        <f t="shared" si="46"/>
        <v>0</v>
      </c>
      <c r="J50" s="162">
        <f t="shared" si="46"/>
        <v>0</v>
      </c>
      <c r="K50" s="162">
        <f t="shared" si="46"/>
        <v>3201.42</v>
      </c>
      <c r="L50" s="162">
        <f t="shared" si="46"/>
        <v>0</v>
      </c>
      <c r="M50" s="46">
        <f t="shared" si="46"/>
        <v>68.830529999999996</v>
      </c>
      <c r="N50" s="46">
        <f t="shared" si="46"/>
        <v>16.007100000000001</v>
      </c>
      <c r="O50" s="46">
        <f t="shared" si="46"/>
        <v>3116.5823700000001</v>
      </c>
      <c r="P50" s="46">
        <f t="shared" si="46"/>
        <v>0</v>
      </c>
      <c r="Q50" s="47"/>
      <c r="R50" s="45">
        <f t="shared" ref="R50:BQ50" si="47">SUBTOTAL(9,R48:R49)</f>
        <v>0</v>
      </c>
      <c r="S50" s="45">
        <f t="shared" si="47"/>
        <v>0</v>
      </c>
      <c r="T50" s="46">
        <f t="shared" si="47"/>
        <v>0</v>
      </c>
      <c r="U50" s="46">
        <f t="shared" si="47"/>
        <v>0</v>
      </c>
      <c r="V50" s="46">
        <f t="shared" si="47"/>
        <v>0</v>
      </c>
      <c r="W50" s="46">
        <f t="shared" si="47"/>
        <v>0</v>
      </c>
      <c r="X50" s="47"/>
      <c r="Y50" s="45">
        <f>SUBTOTAL(9,Y48:Y49)</f>
        <v>0</v>
      </c>
      <c r="Z50" s="45"/>
      <c r="AA50" s="45"/>
      <c r="AB50" s="45"/>
      <c r="AC50" s="45"/>
      <c r="AD50" s="48"/>
      <c r="AE50" s="48"/>
      <c r="AF50" s="45"/>
      <c r="AG50" s="44">
        <f t="shared" si="47"/>
        <v>503.09120000000007</v>
      </c>
      <c r="AH50" s="44">
        <f t="shared" si="47"/>
        <v>88.780800000000013</v>
      </c>
      <c r="AI50" s="44">
        <f t="shared" si="47"/>
        <v>147.96800000000002</v>
      </c>
      <c r="AJ50" s="45">
        <f t="shared" si="47"/>
        <v>0</v>
      </c>
      <c r="AK50" s="44">
        <f t="shared" si="47"/>
        <v>7795.7410714285706</v>
      </c>
      <c r="AL50" s="44">
        <f t="shared" si="47"/>
        <v>7699.4610714285709</v>
      </c>
      <c r="AM50" s="44">
        <f t="shared" si="47"/>
        <v>923.9353285714285</v>
      </c>
      <c r="AN50" s="44">
        <f t="shared" si="42"/>
        <v>8623.3963999999996</v>
      </c>
      <c r="AO50" s="49">
        <f t="shared" si="47"/>
        <v>0</v>
      </c>
      <c r="AP50" s="49">
        <f t="shared" si="47"/>
        <v>470</v>
      </c>
      <c r="AQ50" s="49">
        <f t="shared" si="47"/>
        <v>0</v>
      </c>
      <c r="AR50" s="49">
        <f t="shared" si="47"/>
        <v>275</v>
      </c>
      <c r="AS50" s="49">
        <f t="shared" si="47"/>
        <v>0</v>
      </c>
      <c r="AT50" s="49">
        <f t="shared" si="47"/>
        <v>0</v>
      </c>
      <c r="AU50" s="49">
        <f>SUBTOTAL(9,AU48:AU49)</f>
        <v>0</v>
      </c>
      <c r="AV50" s="49">
        <f t="shared" si="47"/>
        <v>0</v>
      </c>
      <c r="AW50" s="49">
        <f t="shared" si="47"/>
        <v>0</v>
      </c>
      <c r="AX50" s="49">
        <f t="shared" si="47"/>
        <v>0</v>
      </c>
      <c r="AY50" s="49">
        <f t="shared" si="47"/>
        <v>0</v>
      </c>
      <c r="AZ50" s="44">
        <f t="shared" si="47"/>
        <v>745</v>
      </c>
      <c r="BA50" s="48">
        <f t="shared" si="47"/>
        <v>0</v>
      </c>
      <c r="BB50" s="48">
        <f t="shared" si="47"/>
        <v>0</v>
      </c>
      <c r="BC50" s="44">
        <f t="shared" si="47"/>
        <v>0</v>
      </c>
      <c r="BD50" s="44">
        <f t="shared" si="47"/>
        <v>0</v>
      </c>
      <c r="BE50" s="49">
        <f t="shared" si="47"/>
        <v>0</v>
      </c>
      <c r="BF50" s="49">
        <f>SUBTOTAL(9,BF48:BF49)</f>
        <v>0</v>
      </c>
      <c r="BG50" s="49">
        <f t="shared" si="47"/>
        <v>0</v>
      </c>
      <c r="BH50" s="49">
        <f t="shared" si="47"/>
        <v>0</v>
      </c>
      <c r="BI50" s="49">
        <f t="shared" si="47"/>
        <v>0</v>
      </c>
      <c r="BJ50" s="49">
        <f t="shared" si="47"/>
        <v>0</v>
      </c>
      <c r="BK50" s="49">
        <f t="shared" si="47"/>
        <v>0</v>
      </c>
      <c r="BL50" s="49">
        <f t="shared" si="47"/>
        <v>0</v>
      </c>
      <c r="BM50" s="49">
        <f t="shared" si="47"/>
        <v>0</v>
      </c>
      <c r="BN50" s="49">
        <f t="shared" si="47"/>
        <v>0</v>
      </c>
      <c r="BO50" s="49">
        <f t="shared" si="47"/>
        <v>0</v>
      </c>
      <c r="BP50" s="49">
        <f t="shared" si="47"/>
        <v>0</v>
      </c>
      <c r="BQ50" s="49">
        <f t="shared" si="47"/>
        <v>0</v>
      </c>
      <c r="BR50" s="44">
        <f>SUBTOTAL(9,BR48:BR49)</f>
        <v>745</v>
      </c>
    </row>
    <row r="51" spans="1:97">
      <c r="A51" s="199">
        <f>+A48+1</f>
        <v>43174</v>
      </c>
      <c r="B51" s="16" t="s">
        <v>43</v>
      </c>
      <c r="C51" s="33" t="s">
        <v>154</v>
      </c>
      <c r="D51" s="34"/>
      <c r="E51" s="34"/>
      <c r="F51" s="171"/>
      <c r="G51" s="33">
        <f>IF(E51-D51&lt;0,E51-D51,0)*-1</f>
        <v>0</v>
      </c>
      <c r="H51" s="33">
        <f>IF(E51-D51&gt;0,E51-D51,0)</f>
        <v>0</v>
      </c>
      <c r="I51" s="34"/>
      <c r="J51" s="34"/>
      <c r="K51" s="34"/>
      <c r="L51" s="34"/>
      <c r="M51" s="36">
        <f>(+K51)*M$5</f>
        <v>0</v>
      </c>
      <c r="N51" s="36">
        <f>(+K51)*N$5</f>
        <v>0</v>
      </c>
      <c r="O51" s="36">
        <f>+K51-M51-N51+P51</f>
        <v>0</v>
      </c>
      <c r="P51" s="36"/>
      <c r="Q51" s="37"/>
      <c r="R51" s="34"/>
      <c r="S51" s="34"/>
      <c r="T51" s="36"/>
      <c r="U51" s="36"/>
      <c r="V51" s="36"/>
      <c r="W51" s="36"/>
      <c r="X51" s="37"/>
      <c r="Y51" s="34"/>
      <c r="Z51" s="34"/>
      <c r="AA51" s="34"/>
      <c r="AB51" s="34"/>
      <c r="AC51" s="34"/>
      <c r="AD51" s="38"/>
      <c r="AE51" s="38"/>
      <c r="AF51" s="34"/>
      <c r="AG51" s="33">
        <f>(AF51*0.8)*0.85</f>
        <v>0</v>
      </c>
      <c r="AH51" s="33">
        <f>(AF51*0.8)*0.15</f>
        <v>0</v>
      </c>
      <c r="AI51" s="33">
        <f>AF51*0.2</f>
        <v>0</v>
      </c>
      <c r="AJ51" s="34"/>
      <c r="AK51" s="33">
        <v>0</v>
      </c>
      <c r="AL51" s="33">
        <f>AK51-SUM(Y51:AC51)</f>
        <v>0</v>
      </c>
      <c r="AM51" s="33">
        <f>+AL51*0.12</f>
        <v>0</v>
      </c>
      <c r="AN51" s="33">
        <f>+AM51+AL51+AJ51</f>
        <v>0</v>
      </c>
      <c r="AO51" s="39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33">
        <f>SUM(AO51:AY51)</f>
        <v>0</v>
      </c>
      <c r="BA51" s="38"/>
      <c r="BB51" s="38"/>
      <c r="BC51" s="33">
        <f>SUM(BE51:BM51)*0.1+(BN51*0.5)</f>
        <v>0</v>
      </c>
      <c r="BD51" s="33">
        <f>SUM(BE51:BM51)+(BN51*0.5)</f>
        <v>0</v>
      </c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41">
        <f>AZ51+BA51+BB51+BD51-BC51</f>
        <v>0</v>
      </c>
      <c r="BT51" s="146"/>
      <c r="BU51" s="145"/>
      <c r="BV51" s="145"/>
      <c r="BW51" s="145"/>
      <c r="BX51" s="145"/>
      <c r="BY51" s="145"/>
      <c r="BZ51" s="145"/>
      <c r="CA51" s="145"/>
      <c r="CB51" s="145"/>
      <c r="CC51" s="145"/>
      <c r="CD51" s="145"/>
      <c r="CE51" s="145"/>
      <c r="CF51" s="145"/>
      <c r="CG51" s="145"/>
      <c r="CH51" s="145"/>
      <c r="CI51" s="145"/>
      <c r="CJ51" s="145"/>
      <c r="CK51" s="145"/>
      <c r="CL51" s="145"/>
      <c r="CM51" s="145"/>
      <c r="CN51" s="145"/>
      <c r="CO51" s="145"/>
      <c r="CP51" s="145"/>
      <c r="CQ51" s="145"/>
      <c r="CR51" s="145"/>
      <c r="CS51" s="145"/>
    </row>
    <row r="52" spans="1:97" ht="15.75" thickBot="1">
      <c r="A52" s="200"/>
      <c r="B52" s="16" t="s">
        <v>44</v>
      </c>
      <c r="C52" s="33"/>
      <c r="D52" s="34"/>
      <c r="E52" s="34"/>
      <c r="F52" s="171"/>
      <c r="G52" s="33">
        <f>IF(E52-D52&lt;0,E52-D52,0)*-1</f>
        <v>0</v>
      </c>
      <c r="H52" s="33">
        <f>IF(E52-D52&gt;0,E52-D52,0)</f>
        <v>0</v>
      </c>
      <c r="I52" s="34"/>
      <c r="J52" s="34"/>
      <c r="K52" s="34"/>
      <c r="L52" s="34"/>
      <c r="M52" s="36">
        <f>(+K52)*M$5</f>
        <v>0</v>
      </c>
      <c r="N52" s="36">
        <f>(+K52)*N$5</f>
        <v>0</v>
      </c>
      <c r="O52" s="36">
        <f>+K52-M52-N52+P52</f>
        <v>0</v>
      </c>
      <c r="P52" s="36"/>
      <c r="Q52" s="37"/>
      <c r="R52" s="34"/>
      <c r="S52" s="34"/>
      <c r="T52" s="36"/>
      <c r="U52" s="36"/>
      <c r="V52" s="36"/>
      <c r="W52" s="36"/>
      <c r="X52" s="37"/>
      <c r="Y52" s="34"/>
      <c r="Z52" s="34"/>
      <c r="AA52" s="34"/>
      <c r="AB52" s="34"/>
      <c r="AC52" s="34"/>
      <c r="AD52" s="38"/>
      <c r="AE52" s="38"/>
      <c r="AF52" s="34"/>
      <c r="AG52" s="33">
        <f>(AF52*0.8)*0.85</f>
        <v>0</v>
      </c>
      <c r="AH52" s="33">
        <f>(AF52*0.8)*0.15</f>
        <v>0</v>
      </c>
      <c r="AI52" s="33">
        <f>AF52*0.2</f>
        <v>0</v>
      </c>
      <c r="AJ52" s="34"/>
      <c r="AK52" s="33">
        <f>(C52-AF52-AJ52)/1.12</f>
        <v>0</v>
      </c>
      <c r="AL52" s="33">
        <f>AK52-SUM(Y52:AC52)</f>
        <v>0</v>
      </c>
      <c r="AM52" s="33">
        <f>+AL52*0.12</f>
        <v>0</v>
      </c>
      <c r="AN52" s="33">
        <f>+AM52+AL52+AJ52</f>
        <v>0</v>
      </c>
      <c r="AO52" s="39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33">
        <f>SUM(AO52:AY52)</f>
        <v>0</v>
      </c>
      <c r="BA52" s="38"/>
      <c r="BB52" s="38"/>
      <c r="BC52" s="33"/>
      <c r="BD52" s="33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41">
        <f>AZ52+BA52+BB52+BD52-BC52</f>
        <v>0</v>
      </c>
      <c r="BT52" s="146"/>
      <c r="BU52" s="145"/>
      <c r="BV52" s="145"/>
      <c r="BW52" s="145"/>
      <c r="BX52" s="145"/>
      <c r="BY52" s="145"/>
      <c r="BZ52" s="145"/>
      <c r="CA52" s="145"/>
      <c r="CB52" s="145"/>
      <c r="CC52" s="145"/>
      <c r="CD52" s="145"/>
      <c r="CE52" s="145"/>
      <c r="CF52" s="145"/>
      <c r="CG52" s="145"/>
      <c r="CH52" s="145"/>
      <c r="CI52" s="145"/>
      <c r="CJ52" s="145"/>
      <c r="CK52" s="145"/>
      <c r="CL52" s="145"/>
      <c r="CM52" s="145"/>
      <c r="CN52" s="145"/>
      <c r="CO52" s="145"/>
      <c r="CP52" s="145"/>
      <c r="CQ52" s="145"/>
      <c r="CR52" s="145"/>
      <c r="CS52" s="145"/>
    </row>
    <row r="53" spans="1:97" ht="15.75" thickBot="1">
      <c r="A53" s="42"/>
      <c r="B53" s="43"/>
      <c r="C53" s="44">
        <f>SUBTOTAL(9,C51:C52)</f>
        <v>0</v>
      </c>
      <c r="D53" s="45">
        <f>SUBTOTAL(9,D51:D52)</f>
        <v>0</v>
      </c>
      <c r="E53" s="45">
        <f>SUBTOTAL(9,E51:E52)</f>
        <v>0</v>
      </c>
      <c r="F53" s="172"/>
      <c r="G53" s="45">
        <f t="shared" ref="G53:P53" si="48">SUBTOTAL(9,G51:G52)</f>
        <v>0</v>
      </c>
      <c r="H53" s="45">
        <f t="shared" si="48"/>
        <v>0</v>
      </c>
      <c r="I53" s="162">
        <f t="shared" si="48"/>
        <v>0</v>
      </c>
      <c r="J53" s="162">
        <f t="shared" si="48"/>
        <v>0</v>
      </c>
      <c r="K53" s="162">
        <f t="shared" si="48"/>
        <v>0</v>
      </c>
      <c r="L53" s="162">
        <f t="shared" si="48"/>
        <v>0</v>
      </c>
      <c r="M53" s="46">
        <f t="shared" si="48"/>
        <v>0</v>
      </c>
      <c r="N53" s="46">
        <f t="shared" si="48"/>
        <v>0</v>
      </c>
      <c r="O53" s="46">
        <f t="shared" si="48"/>
        <v>0</v>
      </c>
      <c r="P53" s="46">
        <f t="shared" si="48"/>
        <v>0</v>
      </c>
      <c r="Q53" s="47"/>
      <c r="R53" s="45">
        <f t="shared" ref="R53:BQ53" si="49">SUBTOTAL(9,R51:R52)</f>
        <v>0</v>
      </c>
      <c r="S53" s="45">
        <f t="shared" si="49"/>
        <v>0</v>
      </c>
      <c r="T53" s="46">
        <f t="shared" si="49"/>
        <v>0</v>
      </c>
      <c r="U53" s="46">
        <f t="shared" si="49"/>
        <v>0</v>
      </c>
      <c r="V53" s="46">
        <f t="shared" si="49"/>
        <v>0</v>
      </c>
      <c r="W53" s="46">
        <f t="shared" si="49"/>
        <v>0</v>
      </c>
      <c r="X53" s="47"/>
      <c r="Y53" s="45">
        <f>SUBTOTAL(9,Y51:Y52)</f>
        <v>0</v>
      </c>
      <c r="Z53" s="45"/>
      <c r="AA53" s="45"/>
      <c r="AB53" s="45"/>
      <c r="AC53" s="45"/>
      <c r="AD53" s="48"/>
      <c r="AE53" s="48"/>
      <c r="AF53" s="45"/>
      <c r="AG53" s="44">
        <f t="shared" si="49"/>
        <v>0</v>
      </c>
      <c r="AH53" s="44">
        <f t="shared" si="49"/>
        <v>0</v>
      </c>
      <c r="AI53" s="44">
        <f t="shared" si="49"/>
        <v>0</v>
      </c>
      <c r="AJ53" s="45">
        <f t="shared" si="49"/>
        <v>0</v>
      </c>
      <c r="AK53" s="44">
        <f t="shared" si="49"/>
        <v>0</v>
      </c>
      <c r="AL53" s="44">
        <f t="shared" si="49"/>
        <v>0</v>
      </c>
      <c r="AM53" s="44">
        <f t="shared" si="49"/>
        <v>0</v>
      </c>
      <c r="AN53" s="44">
        <f t="shared" si="42"/>
        <v>0</v>
      </c>
      <c r="AO53" s="49">
        <f t="shared" si="49"/>
        <v>0</v>
      </c>
      <c r="AP53" s="49">
        <f t="shared" si="49"/>
        <v>0</v>
      </c>
      <c r="AQ53" s="49">
        <f t="shared" si="49"/>
        <v>0</v>
      </c>
      <c r="AR53" s="49">
        <f t="shared" si="49"/>
        <v>0</v>
      </c>
      <c r="AS53" s="49">
        <f t="shared" si="49"/>
        <v>0</v>
      </c>
      <c r="AT53" s="49">
        <f t="shared" si="49"/>
        <v>0</v>
      </c>
      <c r="AU53" s="49">
        <f>SUBTOTAL(9,AU51:AU52)</f>
        <v>0</v>
      </c>
      <c r="AV53" s="49">
        <f t="shared" si="49"/>
        <v>0</v>
      </c>
      <c r="AW53" s="49">
        <f t="shared" si="49"/>
        <v>0</v>
      </c>
      <c r="AX53" s="49">
        <f t="shared" si="49"/>
        <v>0</v>
      </c>
      <c r="AY53" s="49">
        <f t="shared" si="49"/>
        <v>0</v>
      </c>
      <c r="AZ53" s="44">
        <f t="shared" si="49"/>
        <v>0</v>
      </c>
      <c r="BA53" s="48">
        <f t="shared" si="49"/>
        <v>0</v>
      </c>
      <c r="BB53" s="48">
        <f t="shared" si="49"/>
        <v>0</v>
      </c>
      <c r="BC53" s="44">
        <f t="shared" si="49"/>
        <v>0</v>
      </c>
      <c r="BD53" s="44">
        <f t="shared" si="49"/>
        <v>0</v>
      </c>
      <c r="BE53" s="49">
        <f t="shared" si="49"/>
        <v>0</v>
      </c>
      <c r="BF53" s="49">
        <f>SUBTOTAL(9,BF51:BF52)</f>
        <v>0</v>
      </c>
      <c r="BG53" s="49">
        <f t="shared" si="49"/>
        <v>0</v>
      </c>
      <c r="BH53" s="49">
        <f t="shared" si="49"/>
        <v>0</v>
      </c>
      <c r="BI53" s="49">
        <f t="shared" si="49"/>
        <v>0</v>
      </c>
      <c r="BJ53" s="49">
        <f t="shared" si="49"/>
        <v>0</v>
      </c>
      <c r="BK53" s="49">
        <f t="shared" si="49"/>
        <v>0</v>
      </c>
      <c r="BL53" s="49">
        <f t="shared" si="49"/>
        <v>0</v>
      </c>
      <c r="BM53" s="49">
        <f t="shared" si="49"/>
        <v>0</v>
      </c>
      <c r="BN53" s="49">
        <f t="shared" si="49"/>
        <v>0</v>
      </c>
      <c r="BO53" s="49">
        <f t="shared" si="49"/>
        <v>0</v>
      </c>
      <c r="BP53" s="49">
        <f t="shared" si="49"/>
        <v>0</v>
      </c>
      <c r="BQ53" s="49">
        <f t="shared" si="49"/>
        <v>0</v>
      </c>
      <c r="BR53" s="44">
        <f>SUBTOTAL(9,BR51:BR52)</f>
        <v>0</v>
      </c>
    </row>
    <row r="54" spans="1:97">
      <c r="A54" s="199">
        <f>+A51+1</f>
        <v>43175</v>
      </c>
      <c r="B54" s="16" t="s">
        <v>43</v>
      </c>
      <c r="C54" s="33">
        <v>30042.25</v>
      </c>
      <c r="D54" s="34">
        <v>24760.19</v>
      </c>
      <c r="E54" s="34">
        <v>24762</v>
      </c>
      <c r="F54" s="171">
        <v>43206</v>
      </c>
      <c r="G54" s="33">
        <f>IF(E54-D54&lt;0,E54-D54,0)*-1</f>
        <v>0</v>
      </c>
      <c r="H54" s="33">
        <f>IF(E54-D54&gt;0,E54-D54,0)</f>
        <v>1.8100000000013097</v>
      </c>
      <c r="I54" s="34"/>
      <c r="J54" s="34"/>
      <c r="K54" s="34">
        <v>5114.2</v>
      </c>
      <c r="L54" s="34"/>
      <c r="M54" s="36">
        <f>(+K54)*M$5</f>
        <v>109.95529999999999</v>
      </c>
      <c r="N54" s="36">
        <f>(+K54)*N$5</f>
        <v>25.570999999999998</v>
      </c>
      <c r="O54" s="36">
        <f>+K54-M54-N54+P54</f>
        <v>4978.6737000000003</v>
      </c>
      <c r="P54" s="36"/>
      <c r="Q54" s="37"/>
      <c r="R54" s="34"/>
      <c r="S54" s="34"/>
      <c r="T54" s="36"/>
      <c r="U54" s="36"/>
      <c r="V54" s="36"/>
      <c r="W54" s="36"/>
      <c r="X54" s="37"/>
      <c r="Y54" s="34"/>
      <c r="Z54" s="34"/>
      <c r="AA54" s="34"/>
      <c r="AB54" s="34"/>
      <c r="AC54" s="34">
        <v>167.86</v>
      </c>
      <c r="AD54" s="38"/>
      <c r="AE54" s="38"/>
      <c r="AF54" s="34">
        <v>1722.96</v>
      </c>
      <c r="AG54" s="33">
        <f>(AF54*0.8)*0.85</f>
        <v>1171.6128000000001</v>
      </c>
      <c r="AH54" s="33">
        <f>(AF54*0.8)*0.15</f>
        <v>206.75520000000003</v>
      </c>
      <c r="AI54" s="33">
        <f>AF54*0.2</f>
        <v>344.59200000000004</v>
      </c>
      <c r="AJ54" s="34"/>
      <c r="AK54" s="33">
        <f>(C54-AF54-AJ54)/1.12</f>
        <v>25285.080357142855</v>
      </c>
      <c r="AL54" s="33">
        <f>AK54-SUM(Y54:AC54)</f>
        <v>25117.220357142854</v>
      </c>
      <c r="AM54" s="33">
        <f>+AL54*0.12</f>
        <v>3014.0664428571426</v>
      </c>
      <c r="AN54" s="33">
        <f t="shared" si="42"/>
        <v>28131.286799999998</v>
      </c>
      <c r="AO54" s="39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33">
        <f>SUM(AO54:AY54)</f>
        <v>0</v>
      </c>
      <c r="BA54" s="38"/>
      <c r="BB54" s="38"/>
      <c r="BC54" s="33">
        <f>SUM(BE54:BM54)*0.1+(BN54*0.5)</f>
        <v>0</v>
      </c>
      <c r="BD54" s="33">
        <f>SUM(BE54:BM54)+(BN54*0.5)</f>
        <v>0</v>
      </c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41">
        <f>AZ54+BA54+BB54+BD54-BC54</f>
        <v>0</v>
      </c>
      <c r="BT54" s="146"/>
      <c r="BU54" s="145"/>
      <c r="BV54" s="145"/>
      <c r="BW54" s="145"/>
      <c r="BX54" s="145"/>
      <c r="BY54" s="145"/>
      <c r="BZ54" s="145"/>
      <c r="CA54" s="145"/>
      <c r="CB54" s="145"/>
      <c r="CC54" s="145"/>
      <c r="CD54" s="145"/>
      <c r="CE54" s="145"/>
      <c r="CF54" s="145"/>
      <c r="CG54" s="145"/>
      <c r="CH54" s="145"/>
      <c r="CI54" s="145"/>
      <c r="CJ54" s="145"/>
      <c r="CK54" s="145"/>
      <c r="CL54" s="145"/>
      <c r="CM54" s="145"/>
      <c r="CN54" s="145"/>
      <c r="CO54" s="145"/>
      <c r="CP54" s="145"/>
      <c r="CQ54" s="145"/>
      <c r="CR54" s="145"/>
      <c r="CS54" s="145"/>
    </row>
    <row r="55" spans="1:97" ht="15.75" thickBot="1">
      <c r="A55" s="200"/>
      <c r="B55" s="16" t="s">
        <v>44</v>
      </c>
      <c r="C55" s="33">
        <v>19933.009999999998</v>
      </c>
      <c r="D55" s="34">
        <v>11784.19</v>
      </c>
      <c r="E55" s="34">
        <v>11790</v>
      </c>
      <c r="F55" s="171">
        <v>43207</v>
      </c>
      <c r="G55" s="33">
        <f>IF(E55-D55&lt;0,E55-D55,0)*-1</f>
        <v>0</v>
      </c>
      <c r="H55" s="33">
        <f>IF(E55-D55&gt;0,E55-D55,0)</f>
        <v>5.8099999999994907</v>
      </c>
      <c r="I55" s="34"/>
      <c r="J55" s="34"/>
      <c r="K55" s="34">
        <v>7902.77</v>
      </c>
      <c r="L55" s="34"/>
      <c r="M55" s="36">
        <f>(+K55)*M$5</f>
        <v>169.90955499999998</v>
      </c>
      <c r="N55" s="36">
        <f>(+K55)*N$5</f>
        <v>39.513850000000005</v>
      </c>
      <c r="O55" s="36">
        <f>+K55-M55-N55+P55</f>
        <v>7693.346595</v>
      </c>
      <c r="P55" s="36"/>
      <c r="Q55" s="37"/>
      <c r="R55" s="34"/>
      <c r="S55" s="34"/>
      <c r="T55" s="36"/>
      <c r="U55" s="36"/>
      <c r="V55" s="36"/>
      <c r="W55" s="36"/>
      <c r="X55" s="37"/>
      <c r="Y55" s="34"/>
      <c r="Z55" s="34"/>
      <c r="AA55" s="34"/>
      <c r="AB55" s="34"/>
      <c r="AC55" s="34">
        <v>246.05</v>
      </c>
      <c r="AD55" s="38"/>
      <c r="AE55" s="38"/>
      <c r="AF55" s="34">
        <v>1576.63</v>
      </c>
      <c r="AG55" s="33">
        <f>(AF55*0.8)*0.85</f>
        <v>1072.1084000000001</v>
      </c>
      <c r="AH55" s="33">
        <f>(AF55*0.8)*0.15</f>
        <v>189.19560000000001</v>
      </c>
      <c r="AI55" s="33">
        <f>AF55*0.2</f>
        <v>315.32600000000002</v>
      </c>
      <c r="AJ55" s="34"/>
      <c r="AK55" s="33">
        <f>(C55-AF55-AJ55)/1.12</f>
        <v>16389.624999999996</v>
      </c>
      <c r="AL55" s="33">
        <f>AK55-SUM(Y55:AC55)</f>
        <v>16143.574999999997</v>
      </c>
      <c r="AM55" s="33">
        <f>+AL55*0.12</f>
        <v>1937.2289999999996</v>
      </c>
      <c r="AN55" s="33">
        <f t="shared" si="42"/>
        <v>18080.803999999996</v>
      </c>
      <c r="AO55" s="39">
        <f>310+500</f>
        <v>810</v>
      </c>
      <c r="AP55" s="40">
        <v>525</v>
      </c>
      <c r="AQ55" s="40"/>
      <c r="AR55" s="40">
        <v>155</v>
      </c>
      <c r="AS55" s="40"/>
      <c r="AT55" s="40"/>
      <c r="AU55" s="40"/>
      <c r="AV55" s="40"/>
      <c r="AW55" s="40"/>
      <c r="AX55" s="40"/>
      <c r="AY55" s="40"/>
      <c r="AZ55" s="33">
        <f>SUM(AO55:AY55)</f>
        <v>1490</v>
      </c>
      <c r="BA55" s="38"/>
      <c r="BB55" s="38"/>
      <c r="BC55" s="33">
        <v>0</v>
      </c>
      <c r="BD55" s="33">
        <v>0</v>
      </c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41">
        <f>AZ55+BA55+BB55+BD55-BC55</f>
        <v>1490</v>
      </c>
      <c r="BT55" s="146"/>
      <c r="BU55" s="145"/>
      <c r="BV55" s="145"/>
      <c r="BW55" s="145"/>
      <c r="BX55" s="145"/>
      <c r="BY55" s="145"/>
      <c r="BZ55" s="145"/>
      <c r="CA55" s="145"/>
      <c r="CB55" s="145"/>
      <c r="CC55" s="145"/>
      <c r="CD55" s="145"/>
      <c r="CE55" s="145"/>
      <c r="CF55" s="145"/>
      <c r="CG55" s="145"/>
      <c r="CH55" s="145"/>
      <c r="CI55" s="145"/>
      <c r="CJ55" s="145"/>
      <c r="CK55" s="145"/>
      <c r="CL55" s="145"/>
      <c r="CM55" s="145"/>
      <c r="CN55" s="145"/>
      <c r="CO55" s="145"/>
      <c r="CP55" s="145"/>
      <c r="CQ55" s="145"/>
      <c r="CR55" s="145"/>
      <c r="CS55" s="145"/>
    </row>
    <row r="56" spans="1:97" ht="15.75" thickBot="1">
      <c r="A56" s="42"/>
      <c r="B56" s="43"/>
      <c r="C56" s="44">
        <f>SUBTOTAL(9,C54:C55)</f>
        <v>49975.259999999995</v>
      </c>
      <c r="D56" s="45">
        <f>SUBTOTAL(9,D54:D55)</f>
        <v>36544.379999999997</v>
      </c>
      <c r="E56" s="45">
        <f>SUBTOTAL(9,E54:E55)</f>
        <v>36552</v>
      </c>
      <c r="F56" s="172"/>
      <c r="G56" s="45">
        <f t="shared" ref="G56:P56" si="50">SUBTOTAL(9,G54:G55)</f>
        <v>0</v>
      </c>
      <c r="H56" s="45">
        <f t="shared" si="50"/>
        <v>7.6200000000008004</v>
      </c>
      <c r="I56" s="162">
        <f t="shared" si="50"/>
        <v>0</v>
      </c>
      <c r="J56" s="162">
        <f t="shared" si="50"/>
        <v>0</v>
      </c>
      <c r="K56" s="162">
        <f t="shared" si="50"/>
        <v>13016.970000000001</v>
      </c>
      <c r="L56" s="162">
        <f t="shared" si="50"/>
        <v>0</v>
      </c>
      <c r="M56" s="46">
        <f t="shared" si="50"/>
        <v>279.86485499999998</v>
      </c>
      <c r="N56" s="46">
        <f t="shared" si="50"/>
        <v>65.084850000000003</v>
      </c>
      <c r="O56" s="46">
        <f t="shared" si="50"/>
        <v>12672.020295</v>
      </c>
      <c r="P56" s="46">
        <f t="shared" si="50"/>
        <v>0</v>
      </c>
      <c r="Q56" s="47"/>
      <c r="R56" s="45">
        <f t="shared" ref="R56:BQ56" si="51">SUBTOTAL(9,R54:R55)</f>
        <v>0</v>
      </c>
      <c r="S56" s="45">
        <f t="shared" si="51"/>
        <v>0</v>
      </c>
      <c r="T56" s="46">
        <f t="shared" si="51"/>
        <v>0</v>
      </c>
      <c r="U56" s="46">
        <f t="shared" si="51"/>
        <v>0</v>
      </c>
      <c r="V56" s="46">
        <f t="shared" si="51"/>
        <v>0</v>
      </c>
      <c r="W56" s="46">
        <f t="shared" si="51"/>
        <v>0</v>
      </c>
      <c r="X56" s="47"/>
      <c r="Y56" s="45">
        <f>SUBTOTAL(9,Y54:Y55)</f>
        <v>0</v>
      </c>
      <c r="Z56" s="45"/>
      <c r="AA56" s="45"/>
      <c r="AB56" s="45"/>
      <c r="AC56" s="45"/>
      <c r="AD56" s="48"/>
      <c r="AE56" s="48"/>
      <c r="AF56" s="45"/>
      <c r="AG56" s="44">
        <f t="shared" si="51"/>
        <v>2243.7212</v>
      </c>
      <c r="AH56" s="44">
        <f t="shared" si="51"/>
        <v>395.95080000000007</v>
      </c>
      <c r="AI56" s="44">
        <f t="shared" si="51"/>
        <v>659.91800000000012</v>
      </c>
      <c r="AJ56" s="45">
        <f t="shared" si="51"/>
        <v>0</v>
      </c>
      <c r="AK56" s="44">
        <f t="shared" si="51"/>
        <v>41674.705357142855</v>
      </c>
      <c r="AL56" s="44">
        <f t="shared" si="51"/>
        <v>41260.795357142852</v>
      </c>
      <c r="AM56" s="44">
        <f t="shared" si="51"/>
        <v>4951.295442857142</v>
      </c>
      <c r="AN56" s="44">
        <f t="shared" si="42"/>
        <v>46212.090799999991</v>
      </c>
      <c r="AO56" s="49">
        <f t="shared" si="51"/>
        <v>810</v>
      </c>
      <c r="AP56" s="49">
        <f t="shared" si="51"/>
        <v>525</v>
      </c>
      <c r="AQ56" s="49">
        <f t="shared" si="51"/>
        <v>0</v>
      </c>
      <c r="AR56" s="49">
        <f t="shared" si="51"/>
        <v>155</v>
      </c>
      <c r="AS56" s="49">
        <f t="shared" si="51"/>
        <v>0</v>
      </c>
      <c r="AT56" s="49">
        <f t="shared" si="51"/>
        <v>0</v>
      </c>
      <c r="AU56" s="49">
        <f>SUBTOTAL(9,AU54:AU55)</f>
        <v>0</v>
      </c>
      <c r="AV56" s="49">
        <f t="shared" si="51"/>
        <v>0</v>
      </c>
      <c r="AW56" s="49">
        <f t="shared" si="51"/>
        <v>0</v>
      </c>
      <c r="AX56" s="49">
        <f t="shared" si="51"/>
        <v>0</v>
      </c>
      <c r="AY56" s="49">
        <f t="shared" si="51"/>
        <v>0</v>
      </c>
      <c r="AZ56" s="44">
        <f t="shared" si="51"/>
        <v>1490</v>
      </c>
      <c r="BA56" s="48">
        <f t="shared" si="51"/>
        <v>0</v>
      </c>
      <c r="BB56" s="48">
        <f t="shared" si="51"/>
        <v>0</v>
      </c>
      <c r="BC56" s="44">
        <f t="shared" si="51"/>
        <v>0</v>
      </c>
      <c r="BD56" s="44">
        <f t="shared" si="51"/>
        <v>0</v>
      </c>
      <c r="BE56" s="49">
        <f t="shared" si="51"/>
        <v>0</v>
      </c>
      <c r="BF56" s="49">
        <f>SUBTOTAL(9,BF54:BF55)</f>
        <v>0</v>
      </c>
      <c r="BG56" s="49">
        <f t="shared" si="51"/>
        <v>0</v>
      </c>
      <c r="BH56" s="49">
        <f t="shared" si="51"/>
        <v>0</v>
      </c>
      <c r="BI56" s="49">
        <f t="shared" si="51"/>
        <v>0</v>
      </c>
      <c r="BJ56" s="49">
        <f t="shared" si="51"/>
        <v>0</v>
      </c>
      <c r="BK56" s="49">
        <f t="shared" si="51"/>
        <v>0</v>
      </c>
      <c r="BL56" s="49">
        <f t="shared" si="51"/>
        <v>0</v>
      </c>
      <c r="BM56" s="49">
        <f t="shared" si="51"/>
        <v>0</v>
      </c>
      <c r="BN56" s="49">
        <f t="shared" si="51"/>
        <v>0</v>
      </c>
      <c r="BO56" s="49">
        <f t="shared" si="51"/>
        <v>0</v>
      </c>
      <c r="BP56" s="49">
        <f t="shared" si="51"/>
        <v>0</v>
      </c>
      <c r="BQ56" s="49">
        <f t="shared" si="51"/>
        <v>0</v>
      </c>
      <c r="BR56" s="44">
        <f>SUBTOTAL(9,BR54:BR55)</f>
        <v>1490</v>
      </c>
    </row>
    <row r="57" spans="1:97">
      <c r="A57" s="199">
        <f>+A54+1</f>
        <v>43176</v>
      </c>
      <c r="B57" s="16" t="s">
        <v>43</v>
      </c>
      <c r="C57" s="33">
        <v>24054.97</v>
      </c>
      <c r="D57" s="34">
        <v>16616.259999999998</v>
      </c>
      <c r="E57" s="34">
        <v>16620</v>
      </c>
      <c r="F57" s="171">
        <v>43207</v>
      </c>
      <c r="G57" s="33"/>
      <c r="H57" s="33">
        <f>IF(E57-D57&gt;0,E57-D57,0)</f>
        <v>3.7400000000016007</v>
      </c>
      <c r="I57" s="34"/>
      <c r="J57" s="34"/>
      <c r="K57" s="34">
        <v>2559.8200000000002</v>
      </c>
      <c r="L57" s="34"/>
      <c r="M57" s="36">
        <f>(+K57)*M$5</f>
        <v>55.03613</v>
      </c>
      <c r="N57" s="36">
        <f>(+K57)*N$5</f>
        <v>12.799100000000001</v>
      </c>
      <c r="O57" s="36">
        <f>+K57-M57-N57+P57</f>
        <v>2491.98477</v>
      </c>
      <c r="P57" s="36">
        <f>L57-(L57*(M$5+N$5))</f>
        <v>0</v>
      </c>
      <c r="Q57" s="37"/>
      <c r="R57" s="34"/>
      <c r="S57" s="34"/>
      <c r="T57" s="36">
        <f>+R57*T$5</f>
        <v>0</v>
      </c>
      <c r="U57" s="36">
        <f>+R57*U$5</f>
        <v>0</v>
      </c>
      <c r="V57" s="36">
        <f>+R57-T57-U57+W57</f>
        <v>0</v>
      </c>
      <c r="W57" s="36">
        <f>+S57-(S57*(T$5+U$5))</f>
        <v>0</v>
      </c>
      <c r="X57" s="37"/>
      <c r="Y57" s="34"/>
      <c r="Z57" s="34">
        <v>15.5</v>
      </c>
      <c r="AA57" s="34"/>
      <c r="AB57" s="34"/>
      <c r="AC57" s="34">
        <v>63.39</v>
      </c>
      <c r="AD57" s="38" t="s">
        <v>159</v>
      </c>
      <c r="AE57" s="38">
        <v>4800</v>
      </c>
      <c r="AF57" s="34">
        <v>1425.87</v>
      </c>
      <c r="AG57" s="33">
        <f>(AF57*0.8)*0.85</f>
        <v>969.59159999999986</v>
      </c>
      <c r="AH57" s="33">
        <f>(AF57*0.8)*0.15</f>
        <v>171.10439999999997</v>
      </c>
      <c r="AI57" s="33">
        <f>AF57*0.2</f>
        <v>285.17399999999998</v>
      </c>
      <c r="AJ57" s="34"/>
      <c r="AK57" s="33">
        <f>(C57-AF57-AJ57)/1.12</f>
        <v>20204.553571428572</v>
      </c>
      <c r="AL57" s="33">
        <f>AK57-SUM(Y57:AC57)</f>
        <v>20125.663571428573</v>
      </c>
      <c r="AM57" s="33">
        <f>+AL57*0.12</f>
        <v>2415.0796285714287</v>
      </c>
      <c r="AN57" s="33">
        <f t="shared" ref="AN57:AN58" si="52">+AM57+AL57+AJ57</f>
        <v>22540.743200000001</v>
      </c>
      <c r="AO57" s="39"/>
      <c r="AP57" s="40">
        <v>0</v>
      </c>
      <c r="AQ57" s="40"/>
      <c r="AR57" s="40"/>
      <c r="AS57" s="40"/>
      <c r="AT57" s="40"/>
      <c r="AU57" s="40"/>
      <c r="AV57" s="40"/>
      <c r="AW57" s="40"/>
      <c r="AX57" s="40"/>
      <c r="AY57" s="40"/>
      <c r="AZ57" s="33">
        <f>SUM(AO57:AY57)</f>
        <v>0</v>
      </c>
      <c r="BA57" s="38"/>
      <c r="BB57" s="38"/>
      <c r="BC57" s="33">
        <f>SUM(BE57:BM57)*0.1+(BN57*0.5)</f>
        <v>0</v>
      </c>
      <c r="BD57" s="33">
        <f>SUM(BE57:BM57)+(BN57*0.5)</f>
        <v>0</v>
      </c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41">
        <f>AZ57+BA57+BB57+BD57-BC57</f>
        <v>0</v>
      </c>
      <c r="BT57" s="146"/>
      <c r="BU57" s="145"/>
      <c r="BV57" s="145"/>
      <c r="BW57" s="145"/>
      <c r="BX57" s="145"/>
      <c r="BY57" s="145"/>
      <c r="BZ57" s="145"/>
      <c r="CA57" s="145"/>
      <c r="CB57" s="145"/>
      <c r="CC57" s="145"/>
      <c r="CD57" s="145"/>
      <c r="CE57" s="145"/>
      <c r="CF57" s="145"/>
      <c r="CG57" s="145"/>
      <c r="CH57" s="145"/>
      <c r="CI57" s="145"/>
      <c r="CJ57" s="145"/>
      <c r="CK57" s="145"/>
      <c r="CL57" s="145"/>
      <c r="CM57" s="145"/>
      <c r="CN57" s="145"/>
      <c r="CO57" s="145"/>
      <c r="CP57" s="145"/>
      <c r="CQ57" s="145"/>
      <c r="CR57" s="145"/>
      <c r="CS57" s="145"/>
    </row>
    <row r="58" spans="1:97" ht="15.75" thickBot="1">
      <c r="A58" s="200"/>
      <c r="B58" s="16" t="s">
        <v>44</v>
      </c>
      <c r="C58" s="169">
        <v>15936.31</v>
      </c>
      <c r="D58" s="34">
        <v>8119.75</v>
      </c>
      <c r="E58" s="34">
        <v>8120</v>
      </c>
      <c r="F58" s="171">
        <v>43208</v>
      </c>
      <c r="G58" s="33"/>
      <c r="H58" s="33">
        <f>IF(E58-D58&gt;0,E58-D58,0)</f>
        <v>0.25</v>
      </c>
      <c r="I58" s="34"/>
      <c r="J58" s="34"/>
      <c r="K58" s="34">
        <v>7694.41</v>
      </c>
      <c r="L58" s="34"/>
      <c r="M58" s="36">
        <f>(+K58)*M$5</f>
        <v>165.42981499999999</v>
      </c>
      <c r="N58" s="36">
        <f>(+K58)*N$5</f>
        <v>38.472050000000003</v>
      </c>
      <c r="O58" s="36">
        <f>+K58-M58-N58+P58</f>
        <v>7490.5081349999991</v>
      </c>
      <c r="P58" s="36">
        <f>L58-(L58*(M$5+N$5))</f>
        <v>0</v>
      </c>
      <c r="Q58" s="37"/>
      <c r="R58" s="34"/>
      <c r="S58" s="34"/>
      <c r="T58" s="36">
        <f>+R58*T$5</f>
        <v>0</v>
      </c>
      <c r="U58" s="36">
        <f>+R58*U$5</f>
        <v>0</v>
      </c>
      <c r="V58" s="36">
        <f>+R58-T58-U58+W58</f>
        <v>0</v>
      </c>
      <c r="W58" s="36">
        <f>+S58-(S58*(T$5+U$5))</f>
        <v>0</v>
      </c>
      <c r="X58" s="37"/>
      <c r="Y58" s="34"/>
      <c r="Z58" s="34"/>
      <c r="AA58" s="34"/>
      <c r="AB58" s="34">
        <v>16.5</v>
      </c>
      <c r="AC58" s="34">
        <v>105.65</v>
      </c>
      <c r="AD58" s="38"/>
      <c r="AE58" s="38"/>
      <c r="AF58" s="34">
        <v>1224.71</v>
      </c>
      <c r="AG58" s="33">
        <f>(AF58*0.8)*0.85</f>
        <v>832.80280000000005</v>
      </c>
      <c r="AH58" s="33">
        <f>(AF58*0.8)*0.15</f>
        <v>146.96520000000001</v>
      </c>
      <c r="AI58" s="33">
        <f>AF58*0.2</f>
        <v>244.94200000000001</v>
      </c>
      <c r="AJ58" s="34"/>
      <c r="AK58" s="33">
        <f>(C58-AF58-AJ58)/1.12</f>
        <v>13135.357142857139</v>
      </c>
      <c r="AL58" s="33">
        <f>AK58-SUM(Y58:AC58)</f>
        <v>13013.20714285714</v>
      </c>
      <c r="AM58" s="33">
        <f>+AL58*0.12</f>
        <v>1561.5848571428567</v>
      </c>
      <c r="AN58" s="33">
        <f t="shared" si="52"/>
        <v>14574.791999999996</v>
      </c>
      <c r="AO58" s="39"/>
      <c r="AP58" s="40"/>
      <c r="AQ58" s="40">
        <v>1383</v>
      </c>
      <c r="AR58" s="40"/>
      <c r="AS58" s="40"/>
      <c r="AT58" s="40"/>
      <c r="AU58" s="40"/>
      <c r="AV58" s="40"/>
      <c r="AW58" s="40"/>
      <c r="AX58" s="40"/>
      <c r="AY58" s="40"/>
      <c r="AZ58" s="33">
        <f>SUM(AO58:AY58)</f>
        <v>1383</v>
      </c>
      <c r="BA58" s="38"/>
      <c r="BB58" s="38"/>
      <c r="BC58" s="33"/>
      <c r="BD58" s="33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41">
        <f>AZ58+BA58+BB58+BD58-BC58</f>
        <v>1383</v>
      </c>
      <c r="BT58" s="146"/>
      <c r="BU58" s="145"/>
      <c r="BV58" s="145"/>
      <c r="BW58" s="145"/>
      <c r="BX58" s="145"/>
      <c r="BY58" s="145"/>
      <c r="BZ58" s="145"/>
      <c r="CA58" s="145"/>
      <c r="CB58" s="145"/>
      <c r="CC58" s="145"/>
      <c r="CD58" s="145"/>
      <c r="CE58" s="145"/>
      <c r="CF58" s="145"/>
      <c r="CG58" s="145"/>
      <c r="CH58" s="145"/>
      <c r="CI58" s="145"/>
      <c r="CJ58" s="145"/>
      <c r="CK58" s="145"/>
      <c r="CL58" s="145"/>
      <c r="CM58" s="145"/>
      <c r="CN58" s="145"/>
      <c r="CO58" s="145"/>
      <c r="CP58" s="145"/>
      <c r="CQ58" s="145"/>
      <c r="CR58" s="145"/>
      <c r="CS58" s="145"/>
    </row>
    <row r="59" spans="1:97" ht="15.75" thickBot="1">
      <c r="A59" s="42"/>
      <c r="B59" s="43"/>
      <c r="C59" s="44">
        <f>SUBTOTAL(9,C57:C58)</f>
        <v>39991.279999999999</v>
      </c>
      <c r="D59" s="45">
        <f>SUBTOTAL(9,D57:D58)</f>
        <v>24736.01</v>
      </c>
      <c r="E59" s="45">
        <f>SUBTOTAL(9,E57:E58)</f>
        <v>24740</v>
      </c>
      <c r="F59" s="172"/>
      <c r="G59" s="45">
        <f t="shared" ref="G59:P59" si="53">SUBTOTAL(9,G57:G58)</f>
        <v>0</v>
      </c>
      <c r="H59" s="45">
        <f t="shared" si="53"/>
        <v>3.9900000000016007</v>
      </c>
      <c r="I59" s="162">
        <f t="shared" si="53"/>
        <v>0</v>
      </c>
      <c r="J59" s="162">
        <f t="shared" si="53"/>
        <v>0</v>
      </c>
      <c r="K59" s="162">
        <f t="shared" si="53"/>
        <v>10254.23</v>
      </c>
      <c r="L59" s="162">
        <f t="shared" si="53"/>
        <v>0</v>
      </c>
      <c r="M59" s="46">
        <f t="shared" si="53"/>
        <v>220.46594499999998</v>
      </c>
      <c r="N59" s="46">
        <f t="shared" si="53"/>
        <v>51.271150000000006</v>
      </c>
      <c r="O59" s="46">
        <f t="shared" si="53"/>
        <v>9982.4929049999992</v>
      </c>
      <c r="P59" s="46">
        <f t="shared" si="53"/>
        <v>0</v>
      </c>
      <c r="Q59" s="47"/>
      <c r="R59" s="45">
        <f t="shared" ref="R59:BQ59" si="54">SUBTOTAL(9,R57:R58)</f>
        <v>0</v>
      </c>
      <c r="S59" s="45">
        <f t="shared" si="54"/>
        <v>0</v>
      </c>
      <c r="T59" s="46">
        <f t="shared" si="54"/>
        <v>0</v>
      </c>
      <c r="U59" s="46">
        <f t="shared" si="54"/>
        <v>0</v>
      </c>
      <c r="V59" s="46">
        <f t="shared" si="54"/>
        <v>0</v>
      </c>
      <c r="W59" s="46">
        <f t="shared" si="54"/>
        <v>0</v>
      </c>
      <c r="X59" s="47"/>
      <c r="Y59" s="45">
        <f>SUBTOTAL(9,Y57:Y58)</f>
        <v>0</v>
      </c>
      <c r="Z59" s="45"/>
      <c r="AA59" s="45"/>
      <c r="AB59" s="45"/>
      <c r="AC59" s="45"/>
      <c r="AD59" s="48"/>
      <c r="AE59" s="48"/>
      <c r="AF59" s="45"/>
      <c r="AG59" s="44">
        <f t="shared" si="54"/>
        <v>1802.3943999999999</v>
      </c>
      <c r="AH59" s="44">
        <f t="shared" si="54"/>
        <v>318.06959999999998</v>
      </c>
      <c r="AI59" s="44">
        <f t="shared" si="54"/>
        <v>530.11599999999999</v>
      </c>
      <c r="AJ59" s="45">
        <f t="shared" si="54"/>
        <v>0</v>
      </c>
      <c r="AK59" s="44">
        <f t="shared" si="54"/>
        <v>33339.91071428571</v>
      </c>
      <c r="AL59" s="44">
        <f t="shared" si="54"/>
        <v>33138.870714285717</v>
      </c>
      <c r="AM59" s="44">
        <f t="shared" si="54"/>
        <v>3976.6644857142855</v>
      </c>
      <c r="AN59" s="44">
        <f t="shared" si="42"/>
        <v>37115.535199999998</v>
      </c>
      <c r="AO59" s="49">
        <f t="shared" si="54"/>
        <v>0</v>
      </c>
      <c r="AP59" s="49">
        <f t="shared" si="54"/>
        <v>0</v>
      </c>
      <c r="AQ59" s="49">
        <f t="shared" si="54"/>
        <v>1383</v>
      </c>
      <c r="AR59" s="49">
        <f t="shared" si="54"/>
        <v>0</v>
      </c>
      <c r="AS59" s="49">
        <f t="shared" si="54"/>
        <v>0</v>
      </c>
      <c r="AT59" s="49">
        <f t="shared" si="54"/>
        <v>0</v>
      </c>
      <c r="AU59" s="49">
        <f>SUBTOTAL(9,AU57:AU58)</f>
        <v>0</v>
      </c>
      <c r="AV59" s="49">
        <f t="shared" si="54"/>
        <v>0</v>
      </c>
      <c r="AW59" s="49">
        <f t="shared" si="54"/>
        <v>0</v>
      </c>
      <c r="AX59" s="49">
        <f t="shared" si="54"/>
        <v>0</v>
      </c>
      <c r="AY59" s="49">
        <f t="shared" si="54"/>
        <v>0</v>
      </c>
      <c r="AZ59" s="44">
        <f t="shared" si="54"/>
        <v>1383</v>
      </c>
      <c r="BA59" s="48">
        <f t="shared" si="54"/>
        <v>0</v>
      </c>
      <c r="BB59" s="48">
        <f t="shared" si="54"/>
        <v>0</v>
      </c>
      <c r="BC59" s="44">
        <f t="shared" si="54"/>
        <v>0</v>
      </c>
      <c r="BD59" s="44">
        <f t="shared" si="54"/>
        <v>0</v>
      </c>
      <c r="BE59" s="49">
        <f t="shared" si="54"/>
        <v>0</v>
      </c>
      <c r="BF59" s="49">
        <f>SUBTOTAL(9,BF57:BF58)</f>
        <v>0</v>
      </c>
      <c r="BG59" s="49">
        <f t="shared" si="54"/>
        <v>0</v>
      </c>
      <c r="BH59" s="49">
        <f t="shared" si="54"/>
        <v>0</v>
      </c>
      <c r="BI59" s="49">
        <f t="shared" si="54"/>
        <v>0</v>
      </c>
      <c r="BJ59" s="49">
        <f t="shared" si="54"/>
        <v>0</v>
      </c>
      <c r="BK59" s="49">
        <f t="shared" si="54"/>
        <v>0</v>
      </c>
      <c r="BL59" s="49">
        <f t="shared" si="54"/>
        <v>0</v>
      </c>
      <c r="BM59" s="49">
        <f t="shared" si="54"/>
        <v>0</v>
      </c>
      <c r="BN59" s="49">
        <f t="shared" si="54"/>
        <v>0</v>
      </c>
      <c r="BO59" s="49">
        <f t="shared" si="54"/>
        <v>0</v>
      </c>
      <c r="BP59" s="49">
        <f t="shared" si="54"/>
        <v>0</v>
      </c>
      <c r="BQ59" s="49">
        <f t="shared" si="54"/>
        <v>0</v>
      </c>
      <c r="BR59" s="44">
        <f>SUBTOTAL(9,BR57:BR58)</f>
        <v>1383</v>
      </c>
    </row>
    <row r="60" spans="1:97">
      <c r="A60" s="199">
        <f>A57+1</f>
        <v>43177</v>
      </c>
      <c r="B60" s="16" t="s">
        <v>43</v>
      </c>
      <c r="C60" s="33">
        <v>36644.550000000003</v>
      </c>
      <c r="D60" s="34">
        <v>29498.45</v>
      </c>
      <c r="E60" s="34">
        <v>29500</v>
      </c>
      <c r="F60" s="171">
        <v>43207</v>
      </c>
      <c r="G60" s="33"/>
      <c r="H60" s="33">
        <f>IF(E60-D60&gt;0,E60-D60,0)</f>
        <v>1.5499999999992724</v>
      </c>
      <c r="I60" s="34"/>
      <c r="J60" s="34"/>
      <c r="K60" s="34">
        <v>1944.37</v>
      </c>
      <c r="L60" s="34"/>
      <c r="M60" s="36">
        <f>(+K60)*M$5</f>
        <v>41.803954999999995</v>
      </c>
      <c r="N60" s="36">
        <f>(+K60)*N$5</f>
        <v>9.7218499999999999</v>
      </c>
      <c r="O60" s="36">
        <f>+K60-M60-N60+P60</f>
        <v>1892.8441949999999</v>
      </c>
      <c r="P60" s="36"/>
      <c r="Q60" s="37"/>
      <c r="R60" s="34"/>
      <c r="S60" s="34"/>
      <c r="T60" s="36"/>
      <c r="U60" s="36"/>
      <c r="V60" s="36"/>
      <c r="W60" s="36"/>
      <c r="X60" s="37"/>
      <c r="Y60" s="34"/>
      <c r="Z60" s="34">
        <f>34+45</f>
        <v>79</v>
      </c>
      <c r="AA60" s="34"/>
      <c r="AB60" s="34"/>
      <c r="AC60" s="34">
        <v>322.73</v>
      </c>
      <c r="AD60" s="38" t="s">
        <v>159</v>
      </c>
      <c r="AE60" s="38">
        <v>4800</v>
      </c>
      <c r="AF60" s="34">
        <v>2521.0500000000002</v>
      </c>
      <c r="AG60" s="33">
        <f>(AF60*0.8)*0.85</f>
        <v>1714.3140000000001</v>
      </c>
      <c r="AH60" s="33">
        <f>(AF60*0.8)*0.15</f>
        <v>302.52600000000001</v>
      </c>
      <c r="AI60" s="33">
        <f>AF60*0.2</f>
        <v>504.21000000000004</v>
      </c>
      <c r="AJ60" s="34"/>
      <c r="AK60" s="33">
        <f t="shared" ref="AK60:AK61" si="55">(C60-AF60-AJ60)/1.12</f>
        <v>30467.41071428571</v>
      </c>
      <c r="AL60" s="33">
        <f t="shared" ref="AL60:AL61" si="56">AK60-SUM(Y60:AC60)</f>
        <v>30065.680714285711</v>
      </c>
      <c r="AM60" s="33">
        <f t="shared" ref="AM60:AM61" si="57">+AL60*0.12</f>
        <v>3607.8816857142851</v>
      </c>
      <c r="AN60" s="33">
        <f t="shared" si="42"/>
        <v>33673.562399999995</v>
      </c>
      <c r="AO60" s="39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33">
        <f>SUM(AO60:AY60)</f>
        <v>0</v>
      </c>
      <c r="BA60" s="38"/>
      <c r="BB60" s="38"/>
      <c r="BC60" s="33">
        <f>SUM(BE60:BM60)*0.1+(BN60*0.5)</f>
        <v>0</v>
      </c>
      <c r="BD60" s="33">
        <f>SUM(BE60:BM60)+(BN60*0.5)</f>
        <v>0</v>
      </c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41">
        <f>AZ60+BA60+BB60+BD60-BC60</f>
        <v>0</v>
      </c>
      <c r="BT60" s="146"/>
      <c r="BU60" s="145"/>
      <c r="BV60" s="145"/>
      <c r="BW60" s="145"/>
      <c r="BX60" s="145"/>
      <c r="BY60" s="145"/>
      <c r="BZ60" s="145"/>
      <c r="CA60" s="145"/>
      <c r="CB60" s="145"/>
      <c r="CC60" s="145"/>
      <c r="CD60" s="145"/>
      <c r="CE60" s="145"/>
      <c r="CF60" s="145"/>
      <c r="CG60" s="145"/>
      <c r="CH60" s="145"/>
      <c r="CI60" s="145"/>
      <c r="CJ60" s="145"/>
      <c r="CK60" s="145"/>
      <c r="CL60" s="145"/>
      <c r="CM60" s="145"/>
      <c r="CN60" s="145"/>
      <c r="CO60" s="145"/>
      <c r="CP60" s="145"/>
      <c r="CQ60" s="145"/>
      <c r="CR60" s="145"/>
      <c r="CS60" s="145"/>
    </row>
    <row r="61" spans="1:97" ht="15.75" thickBot="1">
      <c r="A61" s="200"/>
      <c r="B61" s="16" t="s">
        <v>44</v>
      </c>
      <c r="C61" s="33">
        <v>14899.16</v>
      </c>
      <c r="D61" s="34">
        <v>9896.43</v>
      </c>
      <c r="E61" s="34">
        <v>9897</v>
      </c>
      <c r="F61" s="171">
        <v>43209</v>
      </c>
      <c r="G61" s="33"/>
      <c r="H61" s="33">
        <f>IF(E61-D61&gt;0,E61-D61,0)</f>
        <v>0.56999999999970896</v>
      </c>
      <c r="I61" s="34"/>
      <c r="J61" s="34"/>
      <c r="K61" s="34">
        <v>4791.2299999999996</v>
      </c>
      <c r="L61" s="34"/>
      <c r="M61" s="36">
        <f>(+K61)*M$5</f>
        <v>103.01144499999998</v>
      </c>
      <c r="N61" s="36">
        <f>(+K61)*N$5</f>
        <v>23.956149999999997</v>
      </c>
      <c r="O61" s="36">
        <f>+K61-M61-N61+P61</f>
        <v>4664.2624049999995</v>
      </c>
      <c r="P61" s="36">
        <f>L61-(L61*(M$5+N$5))</f>
        <v>0</v>
      </c>
      <c r="Q61" s="37"/>
      <c r="R61" s="34"/>
      <c r="S61" s="34"/>
      <c r="T61" s="36">
        <f>+R61*T$5</f>
        <v>0</v>
      </c>
      <c r="U61" s="36">
        <f>+R61*U$5</f>
        <v>0</v>
      </c>
      <c r="V61" s="36">
        <f>+R61-T61-U61+W61</f>
        <v>0</v>
      </c>
      <c r="W61" s="36">
        <f>+S61-(S61*(T$5+U$5))</f>
        <v>0</v>
      </c>
      <c r="X61" s="37"/>
      <c r="Y61" s="34"/>
      <c r="Z61" s="34">
        <v>211.5</v>
      </c>
      <c r="AA61" s="34"/>
      <c r="AB61" s="34"/>
      <c r="AC61" s="34"/>
      <c r="AD61" s="38"/>
      <c r="AE61" s="38"/>
      <c r="AF61" s="34">
        <v>1189.1600000000001</v>
      </c>
      <c r="AG61" s="33">
        <f>(AF61*0.8)*0.85</f>
        <v>808.62880000000007</v>
      </c>
      <c r="AH61" s="33">
        <f>(AF61*0.8)*0.15</f>
        <v>142.69920000000002</v>
      </c>
      <c r="AI61" s="33">
        <f>AF61*0.2</f>
        <v>237.83200000000002</v>
      </c>
      <c r="AJ61" s="34"/>
      <c r="AK61" s="33">
        <f t="shared" si="55"/>
        <v>12241.071428571428</v>
      </c>
      <c r="AL61" s="33">
        <f t="shared" si="56"/>
        <v>12029.571428571428</v>
      </c>
      <c r="AM61" s="33">
        <f t="shared" si="57"/>
        <v>1443.5485714285712</v>
      </c>
      <c r="AN61" s="33">
        <f t="shared" si="42"/>
        <v>13473.119999999999</v>
      </c>
      <c r="AO61" s="39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33">
        <f>SUM(AO61:AY61)</f>
        <v>0</v>
      </c>
      <c r="BA61" s="38">
        <v>320</v>
      </c>
      <c r="BB61" s="38"/>
      <c r="BC61" s="33"/>
      <c r="BD61" s="33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41">
        <f>AZ61+BA61+BB61+BD61-BC61</f>
        <v>320</v>
      </c>
      <c r="BT61" s="146"/>
      <c r="BU61" s="145"/>
      <c r="BV61" s="145"/>
      <c r="BW61" s="145"/>
      <c r="BX61" s="145"/>
      <c r="BY61" s="145"/>
      <c r="BZ61" s="145"/>
      <c r="CA61" s="145"/>
      <c r="CB61" s="145"/>
      <c r="CC61" s="145"/>
      <c r="CD61" s="145"/>
      <c r="CE61" s="145"/>
      <c r="CF61" s="145"/>
      <c r="CG61" s="145"/>
      <c r="CH61" s="145"/>
      <c r="CI61" s="145"/>
      <c r="CJ61" s="145"/>
      <c r="CK61" s="145"/>
      <c r="CL61" s="145"/>
      <c r="CM61" s="145"/>
      <c r="CN61" s="145"/>
      <c r="CO61" s="145"/>
      <c r="CP61" s="145"/>
      <c r="CQ61" s="145"/>
      <c r="CR61" s="145"/>
      <c r="CS61" s="145"/>
    </row>
    <row r="62" spans="1:97" ht="15.75" thickBot="1">
      <c r="A62" s="42"/>
      <c r="B62" s="43"/>
      <c r="C62" s="44">
        <f>SUBTOTAL(9,C60:C61)</f>
        <v>51543.710000000006</v>
      </c>
      <c r="D62" s="45">
        <f>SUBTOTAL(9,D60:D61)</f>
        <v>39394.880000000005</v>
      </c>
      <c r="E62" s="45">
        <f>SUBTOTAL(9,E60:E61)</f>
        <v>39397</v>
      </c>
      <c r="F62" s="172"/>
      <c r="G62" s="45">
        <f t="shared" ref="G62:P62" si="58">SUBTOTAL(9,G60:G61)</f>
        <v>0</v>
      </c>
      <c r="H62" s="45">
        <f t="shared" si="58"/>
        <v>2.1199999999989814</v>
      </c>
      <c r="I62" s="162">
        <f t="shared" si="58"/>
        <v>0</v>
      </c>
      <c r="J62" s="162">
        <f t="shared" si="58"/>
        <v>0</v>
      </c>
      <c r="K62" s="162">
        <f t="shared" si="58"/>
        <v>6735.5999999999995</v>
      </c>
      <c r="L62" s="162">
        <f t="shared" si="58"/>
        <v>0</v>
      </c>
      <c r="M62" s="46">
        <f t="shared" si="58"/>
        <v>144.81539999999998</v>
      </c>
      <c r="N62" s="46">
        <f t="shared" si="58"/>
        <v>33.677999999999997</v>
      </c>
      <c r="O62" s="46">
        <f t="shared" si="58"/>
        <v>6557.1065999999992</v>
      </c>
      <c r="P62" s="46">
        <f t="shared" si="58"/>
        <v>0</v>
      </c>
      <c r="Q62" s="47"/>
      <c r="R62" s="45">
        <f t="shared" ref="R62:BQ62" si="59">SUBTOTAL(9,R60:R61)</f>
        <v>0</v>
      </c>
      <c r="S62" s="45">
        <f t="shared" si="59"/>
        <v>0</v>
      </c>
      <c r="T62" s="46">
        <f t="shared" si="59"/>
        <v>0</v>
      </c>
      <c r="U62" s="46">
        <f t="shared" si="59"/>
        <v>0</v>
      </c>
      <c r="V62" s="46">
        <f t="shared" si="59"/>
        <v>0</v>
      </c>
      <c r="W62" s="46">
        <f t="shared" si="59"/>
        <v>0</v>
      </c>
      <c r="X62" s="47"/>
      <c r="Y62" s="45">
        <f>SUBTOTAL(9,Y60:Y61)</f>
        <v>0</v>
      </c>
      <c r="Z62" s="45"/>
      <c r="AA62" s="45"/>
      <c r="AB62" s="45"/>
      <c r="AC62" s="45"/>
      <c r="AD62" s="48"/>
      <c r="AE62" s="48"/>
      <c r="AF62" s="45"/>
      <c r="AG62" s="44">
        <f t="shared" si="59"/>
        <v>2522.9428000000003</v>
      </c>
      <c r="AH62" s="44">
        <f t="shared" si="59"/>
        <v>445.22520000000003</v>
      </c>
      <c r="AI62" s="44">
        <f t="shared" si="59"/>
        <v>742.04200000000003</v>
      </c>
      <c r="AJ62" s="45">
        <f t="shared" si="59"/>
        <v>0</v>
      </c>
      <c r="AK62" s="44">
        <f t="shared" si="59"/>
        <v>42708.482142857138</v>
      </c>
      <c r="AL62" s="44">
        <f t="shared" si="59"/>
        <v>42095.252142857134</v>
      </c>
      <c r="AM62" s="44">
        <f t="shared" si="59"/>
        <v>5051.4302571428561</v>
      </c>
      <c r="AN62" s="44">
        <f t="shared" si="42"/>
        <v>47146.682399999991</v>
      </c>
      <c r="AO62" s="49">
        <f t="shared" si="59"/>
        <v>0</v>
      </c>
      <c r="AP62" s="49">
        <f t="shared" si="59"/>
        <v>0</v>
      </c>
      <c r="AQ62" s="49">
        <f t="shared" si="59"/>
        <v>0</v>
      </c>
      <c r="AR62" s="49">
        <f t="shared" si="59"/>
        <v>0</v>
      </c>
      <c r="AS62" s="49">
        <f t="shared" si="59"/>
        <v>0</v>
      </c>
      <c r="AT62" s="49">
        <f t="shared" si="59"/>
        <v>0</v>
      </c>
      <c r="AU62" s="49">
        <f>SUBTOTAL(9,AU60:AU61)</f>
        <v>0</v>
      </c>
      <c r="AV62" s="49">
        <f t="shared" si="59"/>
        <v>0</v>
      </c>
      <c r="AW62" s="49">
        <f t="shared" si="59"/>
        <v>0</v>
      </c>
      <c r="AX62" s="49">
        <f t="shared" si="59"/>
        <v>0</v>
      </c>
      <c r="AY62" s="49">
        <f t="shared" si="59"/>
        <v>0</v>
      </c>
      <c r="AZ62" s="44">
        <f t="shared" si="59"/>
        <v>0</v>
      </c>
      <c r="BA62" s="48">
        <f t="shared" si="59"/>
        <v>320</v>
      </c>
      <c r="BB62" s="48">
        <f t="shared" si="59"/>
        <v>0</v>
      </c>
      <c r="BC62" s="44">
        <f t="shared" si="59"/>
        <v>0</v>
      </c>
      <c r="BD62" s="44">
        <f t="shared" si="59"/>
        <v>0</v>
      </c>
      <c r="BE62" s="49">
        <f t="shared" si="59"/>
        <v>0</v>
      </c>
      <c r="BF62" s="49">
        <f>SUBTOTAL(9,BF60:BF61)</f>
        <v>0</v>
      </c>
      <c r="BG62" s="49">
        <f t="shared" si="59"/>
        <v>0</v>
      </c>
      <c r="BH62" s="49">
        <f t="shared" si="59"/>
        <v>0</v>
      </c>
      <c r="BI62" s="49">
        <f t="shared" si="59"/>
        <v>0</v>
      </c>
      <c r="BJ62" s="49">
        <f t="shared" si="59"/>
        <v>0</v>
      </c>
      <c r="BK62" s="49">
        <f t="shared" si="59"/>
        <v>0</v>
      </c>
      <c r="BL62" s="49">
        <f t="shared" si="59"/>
        <v>0</v>
      </c>
      <c r="BM62" s="49">
        <f t="shared" si="59"/>
        <v>0</v>
      </c>
      <c r="BN62" s="49">
        <f t="shared" si="59"/>
        <v>0</v>
      </c>
      <c r="BO62" s="49">
        <f t="shared" si="59"/>
        <v>0</v>
      </c>
      <c r="BP62" s="49">
        <f t="shared" si="59"/>
        <v>0</v>
      </c>
      <c r="BQ62" s="49">
        <f t="shared" si="59"/>
        <v>0</v>
      </c>
      <c r="BR62" s="44">
        <f>SUBTOTAL(9,BR60:BR61)</f>
        <v>320</v>
      </c>
    </row>
    <row r="63" spans="1:97">
      <c r="A63" s="199">
        <f>+A60+1</f>
        <v>43178</v>
      </c>
      <c r="B63" s="16" t="s">
        <v>43</v>
      </c>
      <c r="C63" s="33">
        <v>28872.65</v>
      </c>
      <c r="D63" s="34">
        <v>14610.15</v>
      </c>
      <c r="E63" s="34">
        <v>14620</v>
      </c>
      <c r="F63" s="171">
        <v>43209</v>
      </c>
      <c r="G63" s="33">
        <f>IF(E63-D63&lt;0,E63-D63,0)*-1</f>
        <v>0</v>
      </c>
      <c r="H63" s="33">
        <f>IF(E63-D63&gt;0,E63-D63,0)</f>
        <v>9.8500000000003638</v>
      </c>
      <c r="I63" s="34"/>
      <c r="J63" s="34"/>
      <c r="K63" s="34">
        <v>9072.2199999999993</v>
      </c>
      <c r="L63" s="34"/>
      <c r="M63" s="36">
        <f>(+K63)*M$5</f>
        <v>195.05272999999997</v>
      </c>
      <c r="N63" s="36">
        <f>(+K63)*N$5</f>
        <v>45.3611</v>
      </c>
      <c r="O63" s="36">
        <f>+K63-M63-N63+P63</f>
        <v>8831.8061699999998</v>
      </c>
      <c r="P63" s="36"/>
      <c r="Q63" s="37"/>
      <c r="R63" s="34"/>
      <c r="S63" s="34"/>
      <c r="T63" s="36"/>
      <c r="U63" s="36"/>
      <c r="V63" s="36"/>
      <c r="W63" s="36"/>
      <c r="X63" s="37"/>
      <c r="Y63" s="34"/>
      <c r="Z63" s="34">
        <v>37.75</v>
      </c>
      <c r="AA63" s="34"/>
      <c r="AB63" s="34"/>
      <c r="AC63" s="34">
        <v>352.53</v>
      </c>
      <c r="AD63" s="38" t="s">
        <v>159</v>
      </c>
      <c r="AE63" s="38">
        <v>4800</v>
      </c>
      <c r="AF63" s="34">
        <v>2291.04</v>
      </c>
      <c r="AG63" s="33">
        <f>(AF63*0.8)*0.85</f>
        <v>1557.9072000000001</v>
      </c>
      <c r="AH63" s="33">
        <f>(AF63*0.8)*0.15</f>
        <v>274.9248</v>
      </c>
      <c r="AI63" s="33">
        <f>AF63*0.2</f>
        <v>458.20800000000003</v>
      </c>
      <c r="AJ63" s="34"/>
      <c r="AK63" s="33">
        <f>(C63-AF63-AJ63)/1.12</f>
        <v>23733.580357142855</v>
      </c>
      <c r="AL63" s="33">
        <f>AK63-SUM(Y63:AC63)</f>
        <v>23343.300357142856</v>
      </c>
      <c r="AM63" s="33">
        <f>+AL63*0.12</f>
        <v>2801.1960428571429</v>
      </c>
      <c r="AN63" s="33">
        <f t="shared" si="42"/>
        <v>26144.4964</v>
      </c>
      <c r="AO63" s="39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33">
        <f>SUM(AO63:AY63)</f>
        <v>0</v>
      </c>
      <c r="BA63" s="38"/>
      <c r="BB63" s="38"/>
      <c r="BC63" s="33">
        <f>SUM(BE63:BM63)*0.1+(BN63*0.5)</f>
        <v>0</v>
      </c>
      <c r="BD63" s="33">
        <f>SUM(BE63:BM63)+(BN63*0.5)</f>
        <v>0</v>
      </c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41">
        <f>AZ63+BA63+BB63+BD63-BC63</f>
        <v>0</v>
      </c>
      <c r="BT63" s="146"/>
      <c r="BU63" s="145"/>
      <c r="BV63" s="145"/>
      <c r="BW63" s="145"/>
      <c r="BX63" s="145"/>
      <c r="BY63" s="145"/>
      <c r="BZ63" s="145"/>
      <c r="CA63" s="145"/>
      <c r="CB63" s="145"/>
      <c r="CC63" s="145"/>
      <c r="CD63" s="145"/>
      <c r="CE63" s="145"/>
      <c r="CF63" s="145"/>
      <c r="CG63" s="145"/>
      <c r="CH63" s="145"/>
      <c r="CI63" s="145"/>
      <c r="CJ63" s="145"/>
      <c r="CK63" s="145"/>
      <c r="CL63" s="145"/>
      <c r="CM63" s="145"/>
      <c r="CN63" s="145"/>
      <c r="CO63" s="145"/>
      <c r="CP63" s="145"/>
      <c r="CQ63" s="145"/>
      <c r="CR63" s="145"/>
      <c r="CS63" s="145"/>
    </row>
    <row r="64" spans="1:97" ht="15.75" thickBot="1">
      <c r="A64" s="200"/>
      <c r="B64" s="16" t="s">
        <v>44</v>
      </c>
      <c r="C64" s="33">
        <v>18041.16</v>
      </c>
      <c r="D64" s="34">
        <v>12304.09</v>
      </c>
      <c r="E64" s="34">
        <v>12306</v>
      </c>
      <c r="F64" s="171">
        <v>43210</v>
      </c>
      <c r="G64" s="33">
        <f>IF(E64-D64&lt;0,E64-D64,0)*-1</f>
        <v>0</v>
      </c>
      <c r="H64" s="33">
        <f>IF(E64-D64&gt;0,E64-D64,0)</f>
        <v>1.9099999999998545</v>
      </c>
      <c r="I64" s="34"/>
      <c r="J64" s="34"/>
      <c r="K64" s="34">
        <v>5563.36</v>
      </c>
      <c r="L64" s="34"/>
      <c r="M64" s="36">
        <f>(+K64)*M$5</f>
        <v>119.61223999999999</v>
      </c>
      <c r="N64" s="36">
        <f>(+K64)*N$5</f>
        <v>27.816800000000001</v>
      </c>
      <c r="O64" s="36">
        <f>+K64-M64-N64+P64</f>
        <v>5415.9309599999997</v>
      </c>
      <c r="P64" s="36"/>
      <c r="Q64" s="37"/>
      <c r="R64" s="34"/>
      <c r="S64" s="34"/>
      <c r="T64" s="36"/>
      <c r="U64" s="36"/>
      <c r="V64" s="36"/>
      <c r="W64" s="36"/>
      <c r="X64" s="37"/>
      <c r="Y64" s="34"/>
      <c r="Z64" s="34">
        <v>63</v>
      </c>
      <c r="AA64" s="34"/>
      <c r="AB64" s="34"/>
      <c r="AC64" s="34">
        <v>110.71</v>
      </c>
      <c r="AD64" s="38"/>
      <c r="AE64" s="38"/>
      <c r="AF64" s="34">
        <v>1299.5899999999999</v>
      </c>
      <c r="AG64" s="33">
        <f>(AF64*0.8)*0.85</f>
        <v>883.72119999999995</v>
      </c>
      <c r="AH64" s="33">
        <f>(AF64*0.8)*0.15</f>
        <v>155.95079999999999</v>
      </c>
      <c r="AI64" s="33">
        <f>AF64*0.2</f>
        <v>259.91800000000001</v>
      </c>
      <c r="AJ64" s="34"/>
      <c r="AK64" s="33">
        <f>(C64-AF64-AJ64)/1.12</f>
        <v>14947.830357142855</v>
      </c>
      <c r="AL64" s="33">
        <f>AK64-SUM(Y64:AC64)</f>
        <v>14774.120357142856</v>
      </c>
      <c r="AM64" s="33">
        <f>+AL64*0.12</f>
        <v>1772.8944428571426</v>
      </c>
      <c r="AN64" s="33">
        <f t="shared" si="42"/>
        <v>16547.014799999997</v>
      </c>
      <c r="AO64" s="39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33">
        <f>SUM(AO64:AY64)</f>
        <v>0</v>
      </c>
      <c r="BA64" s="38"/>
      <c r="BB64" s="38"/>
      <c r="BC64" s="33">
        <v>0</v>
      </c>
      <c r="BD64" s="33">
        <v>0</v>
      </c>
      <c r="BE64" s="39"/>
      <c r="BF64" s="39"/>
      <c r="BG64" s="39"/>
      <c r="BH64" s="39"/>
      <c r="BI64" s="39"/>
      <c r="BJ64" s="39">
        <v>255</v>
      </c>
      <c r="BK64" s="39"/>
      <c r="BL64" s="39"/>
      <c r="BM64" s="39"/>
      <c r="BN64" s="39"/>
      <c r="BO64" s="39"/>
      <c r="BP64" s="39"/>
      <c r="BQ64" s="39"/>
      <c r="BR64" s="41">
        <f>AZ64+BA64+BB64+BD64-BC64</f>
        <v>0</v>
      </c>
      <c r="BT64" s="146"/>
      <c r="BU64" s="145"/>
      <c r="BV64" s="145"/>
      <c r="BW64" s="145"/>
      <c r="BX64" s="145"/>
      <c r="BY64" s="145"/>
      <c r="BZ64" s="145"/>
      <c r="CA64" s="145"/>
      <c r="CB64" s="145"/>
      <c r="CC64" s="145"/>
      <c r="CD64" s="145"/>
      <c r="CE64" s="145"/>
      <c r="CF64" s="145"/>
      <c r="CG64" s="145"/>
      <c r="CH64" s="145"/>
      <c r="CI64" s="145"/>
      <c r="CJ64" s="145"/>
      <c r="CK64" s="145"/>
      <c r="CL64" s="145"/>
      <c r="CM64" s="145"/>
      <c r="CN64" s="145"/>
      <c r="CO64" s="145"/>
      <c r="CP64" s="145"/>
      <c r="CQ64" s="145"/>
      <c r="CR64" s="145"/>
      <c r="CS64" s="145"/>
    </row>
    <row r="65" spans="1:97" ht="15.75" thickBot="1">
      <c r="A65" s="42"/>
      <c r="B65" s="43"/>
      <c r="C65" s="44">
        <f>SUBTOTAL(9,C63:C64)</f>
        <v>46913.81</v>
      </c>
      <c r="D65" s="45">
        <f>SUBTOTAL(9,D63:D64)</f>
        <v>26914.239999999998</v>
      </c>
      <c r="E65" s="45">
        <f>SUBTOTAL(9,E63:E64)</f>
        <v>26926</v>
      </c>
      <c r="F65" s="172"/>
      <c r="G65" s="45">
        <f t="shared" ref="G65:P65" si="60">SUBTOTAL(9,G63:G64)</f>
        <v>0</v>
      </c>
      <c r="H65" s="45">
        <f t="shared" si="60"/>
        <v>11.760000000000218</v>
      </c>
      <c r="I65" s="162">
        <f t="shared" si="60"/>
        <v>0</v>
      </c>
      <c r="J65" s="162">
        <f t="shared" si="60"/>
        <v>0</v>
      </c>
      <c r="K65" s="162">
        <f t="shared" si="60"/>
        <v>14635.579999999998</v>
      </c>
      <c r="L65" s="162">
        <f t="shared" si="60"/>
        <v>0</v>
      </c>
      <c r="M65" s="46">
        <f t="shared" si="60"/>
        <v>314.66496999999993</v>
      </c>
      <c r="N65" s="46">
        <f t="shared" si="60"/>
        <v>73.177899999999994</v>
      </c>
      <c r="O65" s="46">
        <f t="shared" si="60"/>
        <v>14247.73713</v>
      </c>
      <c r="P65" s="46">
        <f t="shared" si="60"/>
        <v>0</v>
      </c>
      <c r="Q65" s="47"/>
      <c r="R65" s="45">
        <f t="shared" ref="R65:BQ65" si="61">SUBTOTAL(9,R63:R64)</f>
        <v>0</v>
      </c>
      <c r="S65" s="45">
        <f t="shared" si="61"/>
        <v>0</v>
      </c>
      <c r="T65" s="46">
        <f t="shared" si="61"/>
        <v>0</v>
      </c>
      <c r="U65" s="46">
        <f t="shared" si="61"/>
        <v>0</v>
      </c>
      <c r="V65" s="46">
        <f t="shared" si="61"/>
        <v>0</v>
      </c>
      <c r="W65" s="46">
        <f t="shared" si="61"/>
        <v>0</v>
      </c>
      <c r="X65" s="47"/>
      <c r="Y65" s="45">
        <f>SUBTOTAL(9,Y63:Y64)</f>
        <v>0</v>
      </c>
      <c r="Z65" s="45"/>
      <c r="AA65" s="45"/>
      <c r="AB65" s="45"/>
      <c r="AC65" s="45"/>
      <c r="AD65" s="48"/>
      <c r="AE65" s="48"/>
      <c r="AF65" s="45"/>
      <c r="AG65" s="44">
        <f t="shared" si="61"/>
        <v>2441.6284000000001</v>
      </c>
      <c r="AH65" s="44">
        <f t="shared" si="61"/>
        <v>430.87559999999996</v>
      </c>
      <c r="AI65" s="44">
        <f t="shared" si="61"/>
        <v>718.12599999999998</v>
      </c>
      <c r="AJ65" s="45">
        <f t="shared" si="61"/>
        <v>0</v>
      </c>
      <c r="AK65" s="44">
        <f t="shared" si="61"/>
        <v>38681.41071428571</v>
      </c>
      <c r="AL65" s="44">
        <f t="shared" si="61"/>
        <v>38117.420714285712</v>
      </c>
      <c r="AM65" s="44">
        <f t="shared" si="61"/>
        <v>4574.090485714285</v>
      </c>
      <c r="AN65" s="44">
        <f t="shared" si="42"/>
        <v>42691.511199999994</v>
      </c>
      <c r="AO65" s="49">
        <f t="shared" si="61"/>
        <v>0</v>
      </c>
      <c r="AP65" s="49">
        <f t="shared" si="61"/>
        <v>0</v>
      </c>
      <c r="AQ65" s="49">
        <f t="shared" si="61"/>
        <v>0</v>
      </c>
      <c r="AR65" s="49">
        <f t="shared" si="61"/>
        <v>0</v>
      </c>
      <c r="AS65" s="49">
        <f t="shared" si="61"/>
        <v>0</v>
      </c>
      <c r="AT65" s="49">
        <f t="shared" si="61"/>
        <v>0</v>
      </c>
      <c r="AU65" s="49">
        <f>SUBTOTAL(9,AU63:AU64)</f>
        <v>0</v>
      </c>
      <c r="AV65" s="49">
        <f t="shared" si="61"/>
        <v>0</v>
      </c>
      <c r="AW65" s="49">
        <f t="shared" si="61"/>
        <v>0</v>
      </c>
      <c r="AX65" s="49">
        <f t="shared" si="61"/>
        <v>0</v>
      </c>
      <c r="AY65" s="49">
        <f t="shared" si="61"/>
        <v>0</v>
      </c>
      <c r="AZ65" s="44">
        <f t="shared" si="61"/>
        <v>0</v>
      </c>
      <c r="BA65" s="48">
        <f t="shared" si="61"/>
        <v>0</v>
      </c>
      <c r="BB65" s="48">
        <f t="shared" si="61"/>
        <v>0</v>
      </c>
      <c r="BC65" s="44">
        <f t="shared" si="61"/>
        <v>0</v>
      </c>
      <c r="BD65" s="44">
        <f t="shared" si="61"/>
        <v>0</v>
      </c>
      <c r="BE65" s="49">
        <f t="shared" si="61"/>
        <v>0</v>
      </c>
      <c r="BF65" s="49">
        <f>SUBTOTAL(9,BF63:BF64)</f>
        <v>0</v>
      </c>
      <c r="BG65" s="49">
        <f t="shared" si="61"/>
        <v>0</v>
      </c>
      <c r="BH65" s="49" t="s">
        <v>1</v>
      </c>
      <c r="BI65" s="49">
        <f t="shared" si="61"/>
        <v>0</v>
      </c>
      <c r="BJ65" s="49">
        <f t="shared" si="61"/>
        <v>255</v>
      </c>
      <c r="BK65" s="49">
        <f t="shared" si="61"/>
        <v>0</v>
      </c>
      <c r="BL65" s="49">
        <f t="shared" si="61"/>
        <v>0</v>
      </c>
      <c r="BM65" s="49">
        <f t="shared" si="61"/>
        <v>0</v>
      </c>
      <c r="BN65" s="49">
        <f t="shared" si="61"/>
        <v>0</v>
      </c>
      <c r="BO65" s="49">
        <f t="shared" si="61"/>
        <v>0</v>
      </c>
      <c r="BP65" s="49">
        <f t="shared" si="61"/>
        <v>0</v>
      </c>
      <c r="BQ65" s="49">
        <f t="shared" si="61"/>
        <v>0</v>
      </c>
      <c r="BR65" s="44">
        <f>SUBTOTAL(9,BR63:BR64)</f>
        <v>0</v>
      </c>
    </row>
    <row r="66" spans="1:97">
      <c r="A66" s="199">
        <f>A63+1</f>
        <v>43179</v>
      </c>
      <c r="B66" s="16" t="s">
        <v>43</v>
      </c>
      <c r="C66" s="33">
        <v>29877.07</v>
      </c>
      <c r="D66" s="34">
        <v>22404.720000000001</v>
      </c>
      <c r="E66" s="34">
        <v>22405</v>
      </c>
      <c r="F66" s="171">
        <v>43210</v>
      </c>
      <c r="G66" s="33">
        <f>IF(E66-D66&lt;0,E66-D66,0)*-1</f>
        <v>0</v>
      </c>
      <c r="H66" s="33">
        <f>IF(E66-D66&gt;0,E66-D66,0)</f>
        <v>0.27999999999883585</v>
      </c>
      <c r="I66" s="34"/>
      <c r="J66" s="34"/>
      <c r="K66" s="34">
        <v>7461.6</v>
      </c>
      <c r="L66" s="34"/>
      <c r="M66" s="36">
        <f>(+K66)*M$5</f>
        <v>160.42439999999999</v>
      </c>
      <c r="N66" s="36">
        <f>(+K66)*N$5</f>
        <v>37.308</v>
      </c>
      <c r="O66" s="36">
        <f>+K66-M66-N66+P66</f>
        <v>7263.8676000000005</v>
      </c>
      <c r="P66" s="36"/>
      <c r="Q66" s="37"/>
      <c r="R66" s="34"/>
      <c r="S66" s="34"/>
      <c r="T66" s="36"/>
      <c r="U66" s="36"/>
      <c r="V66" s="36"/>
      <c r="W66" s="36"/>
      <c r="X66" s="37"/>
      <c r="Y66" s="34"/>
      <c r="Z66" s="34">
        <v>10.75</v>
      </c>
      <c r="AA66" s="34"/>
      <c r="AB66" s="34"/>
      <c r="AC66" s="34"/>
      <c r="AD66" s="38" t="s">
        <v>159</v>
      </c>
      <c r="AE66" s="38">
        <v>4800</v>
      </c>
      <c r="AF66" s="34">
        <v>2432.0700000000002</v>
      </c>
      <c r="AG66" s="33">
        <f>(AF66*0.8)*0.85</f>
        <v>1653.8076000000001</v>
      </c>
      <c r="AH66" s="33">
        <f>(AF66*0.8)*0.15</f>
        <v>291.84840000000003</v>
      </c>
      <c r="AI66" s="33">
        <f>AF66*0.2</f>
        <v>486.41400000000004</v>
      </c>
      <c r="AJ66" s="34"/>
      <c r="AK66" s="33">
        <f t="shared" ref="AK66:AK67" si="62">(C66-AF66-AJ66)/1.12</f>
        <v>24504.464285714283</v>
      </c>
      <c r="AL66" s="33">
        <f t="shared" ref="AL66:AL67" si="63">AK66-SUM(Y66:AC66)</f>
        <v>24493.714285714283</v>
      </c>
      <c r="AM66" s="33">
        <f t="shared" ref="AM66:AM70" si="64">+AL66*0.12</f>
        <v>2939.2457142857138</v>
      </c>
      <c r="AN66" s="33">
        <f t="shared" ref="AN66:AN67" si="65">+AM66+AL66+AJ66</f>
        <v>27432.959999999995</v>
      </c>
      <c r="AO66" s="39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33">
        <f>SUM(AO66:AY66)</f>
        <v>0</v>
      </c>
      <c r="BA66" s="38"/>
      <c r="BB66" s="38"/>
      <c r="BC66" s="33">
        <f>SUM(BE66:BM66)*0.1+(BN66*0.5)</f>
        <v>0</v>
      </c>
      <c r="BD66" s="33">
        <f>SUM(BE66:BM66)+(BN66*0.5)</f>
        <v>0</v>
      </c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41">
        <f>AZ66+BA66+BB66+BD66-BC66</f>
        <v>0</v>
      </c>
      <c r="BT66" s="146"/>
      <c r="BU66" s="145"/>
      <c r="BV66" s="145"/>
      <c r="BW66" s="145"/>
      <c r="BX66" s="145"/>
      <c r="BY66" s="145"/>
      <c r="BZ66" s="145"/>
      <c r="CA66" s="145"/>
      <c r="CB66" s="145"/>
      <c r="CC66" s="145"/>
      <c r="CD66" s="145"/>
      <c r="CE66" s="145"/>
      <c r="CF66" s="145"/>
      <c r="CG66" s="145"/>
      <c r="CH66" s="145"/>
      <c r="CI66" s="145"/>
      <c r="CJ66" s="145"/>
      <c r="CK66" s="145"/>
      <c r="CL66" s="145"/>
      <c r="CM66" s="145"/>
      <c r="CN66" s="145"/>
      <c r="CO66" s="145"/>
      <c r="CP66" s="145"/>
      <c r="CQ66" s="145"/>
      <c r="CR66" s="145"/>
      <c r="CS66" s="145"/>
    </row>
    <row r="67" spans="1:97" ht="15.75" thickBot="1">
      <c r="A67" s="200"/>
      <c r="B67" s="16" t="s">
        <v>44</v>
      </c>
      <c r="C67" s="33">
        <v>27993.71</v>
      </c>
      <c r="D67" s="34">
        <v>17242.599999999999</v>
      </c>
      <c r="E67" s="34">
        <v>17243</v>
      </c>
      <c r="F67" s="171">
        <v>43213</v>
      </c>
      <c r="G67" s="33">
        <f>IF(E67-D67&lt;0,E67-D67,0)*-1</f>
        <v>0</v>
      </c>
      <c r="H67" s="33">
        <f>IF(E67-D67&gt;0,E67-D67,0)</f>
        <v>0.40000000000145519</v>
      </c>
      <c r="I67" s="34"/>
      <c r="J67" s="34"/>
      <c r="K67" s="34">
        <v>5418.11</v>
      </c>
      <c r="L67" s="34"/>
      <c r="M67" s="36">
        <f>(+K67)*M$5</f>
        <v>116.48936499999998</v>
      </c>
      <c r="N67" s="36">
        <f>(+K67)*N$5</f>
        <v>27.09055</v>
      </c>
      <c r="O67" s="36">
        <f>+K67-M67-N67+P67</f>
        <v>5274.5300849999994</v>
      </c>
      <c r="P67" s="36"/>
      <c r="Q67" s="37"/>
      <c r="R67" s="34"/>
      <c r="S67" s="34"/>
      <c r="T67" s="36"/>
      <c r="U67" s="36"/>
      <c r="V67" s="36"/>
      <c r="W67" s="36"/>
      <c r="X67" s="37"/>
      <c r="Y67" s="34"/>
      <c r="Z67" s="34">
        <v>33</v>
      </c>
      <c r="AA67" s="34"/>
      <c r="AB67" s="34"/>
      <c r="AC67" s="34"/>
      <c r="AD67" s="38" t="s">
        <v>156</v>
      </c>
      <c r="AE67" s="38">
        <v>500</v>
      </c>
      <c r="AF67" s="34">
        <v>2178.5700000000002</v>
      </c>
      <c r="AG67" s="33">
        <f>(AF67*0.8)*0.85</f>
        <v>1481.4276000000002</v>
      </c>
      <c r="AH67" s="33">
        <f>(AF67*0.8)*0.15</f>
        <v>261.42840000000001</v>
      </c>
      <c r="AI67" s="33">
        <f>AF67*0.2</f>
        <v>435.71400000000006</v>
      </c>
      <c r="AJ67" s="34"/>
      <c r="AK67" s="33">
        <f t="shared" si="62"/>
        <v>23049.232142857141</v>
      </c>
      <c r="AL67" s="33">
        <f t="shared" si="63"/>
        <v>23016.232142857141</v>
      </c>
      <c r="AM67" s="33">
        <f t="shared" si="64"/>
        <v>2761.9478571428567</v>
      </c>
      <c r="AN67" s="33">
        <f t="shared" si="65"/>
        <v>25778.179999999997</v>
      </c>
      <c r="AO67" s="39">
        <v>296</v>
      </c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33">
        <f>SUM(AO67:AY67)</f>
        <v>296</v>
      </c>
      <c r="BA67" s="38"/>
      <c r="BB67" s="38"/>
      <c r="BC67" s="33">
        <v>0</v>
      </c>
      <c r="BD67" s="33">
        <v>0</v>
      </c>
      <c r="BE67" s="39"/>
      <c r="BF67" s="39"/>
      <c r="BG67" s="39"/>
      <c r="BH67" s="39"/>
      <c r="BI67" s="39"/>
      <c r="BJ67" s="39"/>
      <c r="BK67" s="39"/>
      <c r="BL67" s="39"/>
      <c r="BM67" s="39"/>
      <c r="BN67" s="173"/>
      <c r="BO67" s="39"/>
      <c r="BP67" s="39"/>
      <c r="BQ67" s="39"/>
      <c r="BR67" s="41">
        <f>AZ67+BA67+BB67+BD67-BC67</f>
        <v>296</v>
      </c>
      <c r="BT67" s="146"/>
      <c r="BU67" s="145"/>
      <c r="BV67" s="145"/>
      <c r="BW67" s="145"/>
      <c r="BX67" s="145"/>
      <c r="BY67" s="145"/>
      <c r="BZ67" s="145"/>
      <c r="CA67" s="145"/>
      <c r="CB67" s="145"/>
      <c r="CC67" s="145"/>
      <c r="CD67" s="145"/>
      <c r="CE67" s="145"/>
      <c r="CF67" s="145"/>
      <c r="CG67" s="145"/>
      <c r="CH67" s="145"/>
      <c r="CI67" s="145"/>
      <c r="CJ67" s="145"/>
      <c r="CK67" s="145"/>
      <c r="CL67" s="145"/>
      <c r="CM67" s="145"/>
      <c r="CN67" s="145"/>
      <c r="CO67" s="145"/>
      <c r="CP67" s="145"/>
      <c r="CQ67" s="145"/>
      <c r="CR67" s="145"/>
      <c r="CS67" s="145"/>
    </row>
    <row r="68" spans="1:97" ht="15.75" thickBot="1">
      <c r="A68" s="42"/>
      <c r="B68" s="43"/>
      <c r="C68" s="44">
        <f>SUBTOTAL(9,C66:C67)</f>
        <v>57870.78</v>
      </c>
      <c r="D68" s="45">
        <f>SUBTOTAL(9,D66:D67)</f>
        <v>39647.32</v>
      </c>
      <c r="E68" s="45">
        <f>SUBTOTAL(9,E66:E67)</f>
        <v>39648</v>
      </c>
      <c r="F68" s="172"/>
      <c r="G68" s="45">
        <f t="shared" ref="G68:P68" si="66">SUBTOTAL(9,G66:G67)</f>
        <v>0</v>
      </c>
      <c r="H68" s="45">
        <f t="shared" si="66"/>
        <v>0.68000000000029104</v>
      </c>
      <c r="I68" s="162">
        <f t="shared" si="66"/>
        <v>0</v>
      </c>
      <c r="J68" s="162">
        <f t="shared" si="66"/>
        <v>0</v>
      </c>
      <c r="K68" s="162">
        <f t="shared" si="66"/>
        <v>12879.71</v>
      </c>
      <c r="L68" s="162">
        <f t="shared" si="66"/>
        <v>0</v>
      </c>
      <c r="M68" s="46">
        <f t="shared" si="66"/>
        <v>276.91376499999996</v>
      </c>
      <c r="N68" s="46">
        <f t="shared" si="66"/>
        <v>64.39855</v>
      </c>
      <c r="O68" s="46">
        <f t="shared" si="66"/>
        <v>12538.397685</v>
      </c>
      <c r="P68" s="46">
        <f t="shared" si="66"/>
        <v>0</v>
      </c>
      <c r="Q68" s="47"/>
      <c r="R68" s="45">
        <f t="shared" ref="R68:BQ68" si="67">SUBTOTAL(9,R66:R67)</f>
        <v>0</v>
      </c>
      <c r="S68" s="45">
        <f t="shared" si="67"/>
        <v>0</v>
      </c>
      <c r="T68" s="46">
        <f t="shared" si="67"/>
        <v>0</v>
      </c>
      <c r="U68" s="46">
        <f t="shared" si="67"/>
        <v>0</v>
      </c>
      <c r="V68" s="46">
        <f t="shared" si="67"/>
        <v>0</v>
      </c>
      <c r="W68" s="46">
        <f t="shared" si="67"/>
        <v>0</v>
      </c>
      <c r="X68" s="47"/>
      <c r="Y68" s="45">
        <f>SUBTOTAL(9,Y66:Y67)</f>
        <v>0</v>
      </c>
      <c r="Z68" s="45"/>
      <c r="AA68" s="45"/>
      <c r="AB68" s="45"/>
      <c r="AC68" s="45"/>
      <c r="AD68" s="48"/>
      <c r="AE68" s="48"/>
      <c r="AF68" s="45"/>
      <c r="AG68" s="44">
        <f t="shared" si="67"/>
        <v>3135.2352000000001</v>
      </c>
      <c r="AH68" s="44">
        <f t="shared" si="67"/>
        <v>553.27680000000009</v>
      </c>
      <c r="AI68" s="44">
        <f t="shared" si="67"/>
        <v>922.12800000000016</v>
      </c>
      <c r="AJ68" s="45">
        <f t="shared" si="67"/>
        <v>0</v>
      </c>
      <c r="AK68" s="44">
        <f t="shared" si="67"/>
        <v>47553.69642857142</v>
      </c>
      <c r="AL68" s="44">
        <f t="shared" si="67"/>
        <v>47509.94642857142</v>
      </c>
      <c r="AM68" s="44">
        <f t="shared" si="67"/>
        <v>5701.1935714285701</v>
      </c>
      <c r="AN68" s="44">
        <f t="shared" si="42"/>
        <v>53211.139999999992</v>
      </c>
      <c r="AO68" s="49">
        <f t="shared" si="67"/>
        <v>296</v>
      </c>
      <c r="AP68" s="49">
        <f t="shared" si="67"/>
        <v>0</v>
      </c>
      <c r="AQ68" s="49">
        <f t="shared" si="67"/>
        <v>0</v>
      </c>
      <c r="AR68" s="49">
        <f t="shared" si="67"/>
        <v>0</v>
      </c>
      <c r="AS68" s="49">
        <f t="shared" si="67"/>
        <v>0</v>
      </c>
      <c r="AT68" s="49">
        <f t="shared" si="67"/>
        <v>0</v>
      </c>
      <c r="AU68" s="49">
        <f>SUBTOTAL(9,AU66:AU67)</f>
        <v>0</v>
      </c>
      <c r="AV68" s="49">
        <f t="shared" si="67"/>
        <v>0</v>
      </c>
      <c r="AW68" s="49">
        <f t="shared" si="67"/>
        <v>0</v>
      </c>
      <c r="AX68" s="49">
        <f t="shared" si="67"/>
        <v>0</v>
      </c>
      <c r="AY68" s="49">
        <f t="shared" si="67"/>
        <v>0</v>
      </c>
      <c r="AZ68" s="44">
        <f t="shared" si="67"/>
        <v>296</v>
      </c>
      <c r="BA68" s="48">
        <f t="shared" si="67"/>
        <v>0</v>
      </c>
      <c r="BB68" s="48">
        <f t="shared" si="67"/>
        <v>0</v>
      </c>
      <c r="BC68" s="44">
        <f t="shared" si="67"/>
        <v>0</v>
      </c>
      <c r="BD68" s="44">
        <f t="shared" si="67"/>
        <v>0</v>
      </c>
      <c r="BE68" s="49">
        <f t="shared" si="67"/>
        <v>0</v>
      </c>
      <c r="BF68" s="49">
        <f>SUBTOTAL(9,BF66:BF67)</f>
        <v>0</v>
      </c>
      <c r="BG68" s="49">
        <f t="shared" si="67"/>
        <v>0</v>
      </c>
      <c r="BH68" s="49">
        <f t="shared" si="67"/>
        <v>0</v>
      </c>
      <c r="BI68" s="49">
        <f t="shared" si="67"/>
        <v>0</v>
      </c>
      <c r="BJ68" s="49">
        <f t="shared" si="67"/>
        <v>0</v>
      </c>
      <c r="BK68" s="49">
        <f t="shared" si="67"/>
        <v>0</v>
      </c>
      <c r="BL68" s="49">
        <f t="shared" si="67"/>
        <v>0</v>
      </c>
      <c r="BM68" s="49">
        <f t="shared" si="67"/>
        <v>0</v>
      </c>
      <c r="BN68" s="49">
        <f t="shared" si="67"/>
        <v>0</v>
      </c>
      <c r="BO68" s="49">
        <f t="shared" si="67"/>
        <v>0</v>
      </c>
      <c r="BP68" s="49">
        <f t="shared" si="67"/>
        <v>0</v>
      </c>
      <c r="BQ68" s="49">
        <f t="shared" si="67"/>
        <v>0</v>
      </c>
      <c r="BR68" s="44">
        <f>SUBTOTAL(9,BR66:BR67)</f>
        <v>296</v>
      </c>
    </row>
    <row r="69" spans="1:97">
      <c r="A69" s="199">
        <f>+A66+1</f>
        <v>43180</v>
      </c>
      <c r="B69" s="16" t="s">
        <v>43</v>
      </c>
      <c r="C69" s="33" t="s">
        <v>157</v>
      </c>
      <c r="D69" s="34"/>
      <c r="E69" s="34"/>
      <c r="F69" s="171"/>
      <c r="G69" s="33">
        <f>IF(E69-D69&lt;0,E69-D69,0)*-1</f>
        <v>0</v>
      </c>
      <c r="H69" s="33">
        <f>IF(E69-D69&gt;0,E69-D69,0)</f>
        <v>0</v>
      </c>
      <c r="I69" s="34"/>
      <c r="J69" s="34"/>
      <c r="K69" s="34"/>
      <c r="L69" s="34"/>
      <c r="M69" s="36">
        <f>(+K69)*M$5</f>
        <v>0</v>
      </c>
      <c r="N69" s="36">
        <f>(+K69)*N$5</f>
        <v>0</v>
      </c>
      <c r="O69" s="36">
        <f>+K69-M69-N69+P69</f>
        <v>0</v>
      </c>
      <c r="P69" s="36"/>
      <c r="Q69" s="37"/>
      <c r="R69" s="34"/>
      <c r="S69" s="34"/>
      <c r="T69" s="36"/>
      <c r="U69" s="36"/>
      <c r="V69" s="36"/>
      <c r="W69" s="36"/>
      <c r="X69" s="37"/>
      <c r="Y69" s="34"/>
      <c r="Z69" s="34"/>
      <c r="AA69" s="34"/>
      <c r="AB69" s="34"/>
      <c r="AC69" s="34"/>
      <c r="AD69" s="38"/>
      <c r="AE69" s="38"/>
      <c r="AF69" s="34"/>
      <c r="AG69" s="33">
        <f>(AF69*0.8)*0.85</f>
        <v>0</v>
      </c>
      <c r="AH69" s="33">
        <f>(AF69*0.8)*0.15</f>
        <v>0</v>
      </c>
      <c r="AI69" s="33">
        <f>AF69*0.2</f>
        <v>0</v>
      </c>
      <c r="AJ69" s="34"/>
      <c r="AK69" s="33">
        <v>0</v>
      </c>
      <c r="AL69" s="33">
        <f t="shared" ref="AL69:AL70" si="68">AK69-SUM(Y69:AC69)</f>
        <v>0</v>
      </c>
      <c r="AM69" s="33">
        <f t="shared" si="64"/>
        <v>0</v>
      </c>
      <c r="AN69" s="33">
        <f t="shared" si="42"/>
        <v>0</v>
      </c>
      <c r="AO69" s="39">
        <v>0</v>
      </c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33">
        <f>SUM(AO69:AY69)</f>
        <v>0</v>
      </c>
      <c r="BA69" s="38"/>
      <c r="BB69" s="38"/>
      <c r="BC69" s="33">
        <f>SUM(BE69:BM69)*0.1+(BN69*0.5)</f>
        <v>0</v>
      </c>
      <c r="BD69" s="33">
        <f>SUM(BE69:BM69)+(BN69*0.5)</f>
        <v>0</v>
      </c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41">
        <f>AZ69+BA69+BB69+BD69-BC69</f>
        <v>0</v>
      </c>
      <c r="BT69" s="146"/>
      <c r="BU69" s="145"/>
      <c r="BV69" s="145"/>
      <c r="BW69" s="145"/>
      <c r="BX69" s="145"/>
      <c r="BY69" s="145"/>
      <c r="BZ69" s="145"/>
      <c r="CA69" s="145"/>
      <c r="CB69" s="145"/>
      <c r="CC69" s="145"/>
      <c r="CD69" s="145"/>
      <c r="CE69" s="145"/>
      <c r="CF69" s="145"/>
      <c r="CG69" s="145"/>
      <c r="CH69" s="145"/>
      <c r="CI69" s="145"/>
      <c r="CJ69" s="145"/>
      <c r="CK69" s="145"/>
      <c r="CL69" s="145"/>
      <c r="CM69" s="145"/>
      <c r="CN69" s="145"/>
      <c r="CO69" s="145"/>
      <c r="CP69" s="145"/>
      <c r="CQ69" s="145"/>
      <c r="CR69" s="145"/>
      <c r="CS69" s="145"/>
    </row>
    <row r="70" spans="1:97" ht="15.75" thickBot="1">
      <c r="A70" s="200"/>
      <c r="B70" s="16" t="s">
        <v>44</v>
      </c>
      <c r="C70" s="33">
        <v>3630.05</v>
      </c>
      <c r="D70" s="34">
        <v>2726.48</v>
      </c>
      <c r="E70" s="34">
        <v>2727</v>
      </c>
      <c r="F70" s="171">
        <v>43213</v>
      </c>
      <c r="G70" s="33">
        <f>IF(E70-D70&lt;0,E70-D70,0)*-1</f>
        <v>0</v>
      </c>
      <c r="H70" s="33">
        <f>IF(E70-D70&gt;0,E70-D70,0)</f>
        <v>0.51999999999998181</v>
      </c>
      <c r="I70" s="34"/>
      <c r="J70" s="34"/>
      <c r="K70" s="34">
        <v>825</v>
      </c>
      <c r="L70" s="34"/>
      <c r="M70" s="36">
        <f>(+K70)*M$5</f>
        <v>17.737499999999997</v>
      </c>
      <c r="N70" s="36">
        <f>(+K70)*N$5</f>
        <v>4.125</v>
      </c>
      <c r="O70" s="36">
        <f>+K70-M70-N70+P70</f>
        <v>803.13750000000005</v>
      </c>
      <c r="P70" s="36"/>
      <c r="Q70" s="37"/>
      <c r="R70" s="34"/>
      <c r="S70" s="34"/>
      <c r="T70" s="36"/>
      <c r="U70" s="36"/>
      <c r="V70" s="36"/>
      <c r="W70" s="36"/>
      <c r="X70" s="37"/>
      <c r="Y70" s="34"/>
      <c r="Z70" s="34"/>
      <c r="AA70" s="34"/>
      <c r="AB70" s="34"/>
      <c r="AC70" s="34">
        <v>78.569999999999993</v>
      </c>
      <c r="AD70" s="38"/>
      <c r="AE70" s="38"/>
      <c r="AF70" s="34">
        <v>294.19</v>
      </c>
      <c r="AG70" s="33">
        <f>(AF70*0.8)*0.85</f>
        <v>200.04919999999998</v>
      </c>
      <c r="AH70" s="33">
        <f>(AF70*0.8)*0.15</f>
        <v>35.302799999999998</v>
      </c>
      <c r="AI70" s="33">
        <f>AF70*0.2</f>
        <v>58.838000000000001</v>
      </c>
      <c r="AJ70" s="34"/>
      <c r="AK70" s="33">
        <f t="shared" ref="AK70" si="69">(C70-AF70-AJ70)/1.12</f>
        <v>2978.4464285714284</v>
      </c>
      <c r="AL70" s="33">
        <f t="shared" si="68"/>
        <v>2899.8764285714283</v>
      </c>
      <c r="AM70" s="33">
        <f t="shared" si="64"/>
        <v>347.98517142857139</v>
      </c>
      <c r="AN70" s="33">
        <f t="shared" si="42"/>
        <v>3247.8615999999997</v>
      </c>
      <c r="AO70" s="39"/>
      <c r="AP70" s="40"/>
      <c r="AQ70" s="40">
        <v>65</v>
      </c>
      <c r="AR70" s="40">
        <v>195</v>
      </c>
      <c r="AS70" s="40"/>
      <c r="AT70" s="40"/>
      <c r="AU70" s="40"/>
      <c r="AV70" s="40"/>
      <c r="AW70" s="40"/>
      <c r="AX70" s="40"/>
      <c r="AY70" s="40"/>
      <c r="AZ70" s="33">
        <f>SUM(AO70:AY70)</f>
        <v>260</v>
      </c>
      <c r="BA70" s="38"/>
      <c r="BB70" s="38">
        <v>0</v>
      </c>
      <c r="BC70" s="33"/>
      <c r="BD70" s="33"/>
      <c r="BE70" s="39"/>
      <c r="BF70" s="39"/>
      <c r="BG70" s="39">
        <v>340</v>
      </c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41">
        <f>AZ70+BA70+BB70+BD70-BC70</f>
        <v>260</v>
      </c>
      <c r="BT70" s="146"/>
      <c r="BU70" s="145"/>
      <c r="BV70" s="145"/>
      <c r="BW70" s="145"/>
      <c r="BX70" s="145"/>
      <c r="BY70" s="145"/>
      <c r="BZ70" s="145"/>
      <c r="CA70" s="145"/>
      <c r="CB70" s="145"/>
      <c r="CC70" s="145"/>
      <c r="CD70" s="145"/>
      <c r="CE70" s="145"/>
      <c r="CF70" s="145"/>
      <c r="CG70" s="145"/>
      <c r="CH70" s="145"/>
      <c r="CI70" s="145"/>
      <c r="CJ70" s="145"/>
      <c r="CK70" s="145"/>
      <c r="CL70" s="145"/>
      <c r="CM70" s="145"/>
      <c r="CN70" s="145"/>
      <c r="CO70" s="145"/>
      <c r="CP70" s="145"/>
      <c r="CQ70" s="145"/>
      <c r="CR70" s="145"/>
      <c r="CS70" s="145"/>
    </row>
    <row r="71" spans="1:97" ht="15.75" thickBot="1">
      <c r="A71" s="42"/>
      <c r="B71" s="43"/>
      <c r="C71" s="44">
        <f>SUBTOTAL(9,C69:C70)</f>
        <v>3630.05</v>
      </c>
      <c r="D71" s="45">
        <f>SUBTOTAL(9,D69:D70)</f>
        <v>2726.48</v>
      </c>
      <c r="E71" s="45">
        <f>SUBTOTAL(9,E69:E70)</f>
        <v>2727</v>
      </c>
      <c r="F71" s="172"/>
      <c r="G71" s="45">
        <f t="shared" ref="G71:P71" si="70">SUBTOTAL(9,G69:G70)</f>
        <v>0</v>
      </c>
      <c r="H71" s="45">
        <f t="shared" si="70"/>
        <v>0.51999999999998181</v>
      </c>
      <c r="I71" s="162">
        <f t="shared" si="70"/>
        <v>0</v>
      </c>
      <c r="J71" s="162">
        <f t="shared" si="70"/>
        <v>0</v>
      </c>
      <c r="K71" s="162">
        <f t="shared" si="70"/>
        <v>825</v>
      </c>
      <c r="L71" s="162">
        <f t="shared" si="70"/>
        <v>0</v>
      </c>
      <c r="M71" s="46">
        <f t="shared" si="70"/>
        <v>17.737499999999997</v>
      </c>
      <c r="N71" s="46">
        <f t="shared" si="70"/>
        <v>4.125</v>
      </c>
      <c r="O71" s="46">
        <f t="shared" si="70"/>
        <v>803.13750000000005</v>
      </c>
      <c r="P71" s="46">
        <f t="shared" si="70"/>
        <v>0</v>
      </c>
      <c r="Q71" s="47"/>
      <c r="R71" s="45">
        <f t="shared" ref="R71:BQ71" si="71">SUBTOTAL(9,R69:R70)</f>
        <v>0</v>
      </c>
      <c r="S71" s="45">
        <f t="shared" si="71"/>
        <v>0</v>
      </c>
      <c r="T71" s="46">
        <f t="shared" si="71"/>
        <v>0</v>
      </c>
      <c r="U71" s="46">
        <f t="shared" si="71"/>
        <v>0</v>
      </c>
      <c r="V71" s="46">
        <f t="shared" si="71"/>
        <v>0</v>
      </c>
      <c r="W71" s="46">
        <f t="shared" si="71"/>
        <v>0</v>
      </c>
      <c r="X71" s="47"/>
      <c r="Y71" s="45">
        <f>SUBTOTAL(9,Y69:Y70)</f>
        <v>0</v>
      </c>
      <c r="Z71" s="45"/>
      <c r="AA71" s="45"/>
      <c r="AB71" s="45"/>
      <c r="AC71" s="45"/>
      <c r="AD71" s="48"/>
      <c r="AE71" s="48"/>
      <c r="AF71" s="45"/>
      <c r="AG71" s="44">
        <f t="shared" si="71"/>
        <v>200.04919999999998</v>
      </c>
      <c r="AH71" s="44">
        <f t="shared" si="71"/>
        <v>35.302799999999998</v>
      </c>
      <c r="AI71" s="44">
        <f t="shared" si="71"/>
        <v>58.838000000000001</v>
      </c>
      <c r="AJ71" s="45">
        <f t="shared" si="71"/>
        <v>0</v>
      </c>
      <c r="AK71" s="44">
        <f t="shared" si="71"/>
        <v>2978.4464285714284</v>
      </c>
      <c r="AL71" s="44">
        <f t="shared" si="71"/>
        <v>2899.8764285714283</v>
      </c>
      <c r="AM71" s="44">
        <f t="shared" si="71"/>
        <v>347.98517142857139</v>
      </c>
      <c r="AN71" s="44">
        <f t="shared" si="42"/>
        <v>3247.8615999999997</v>
      </c>
      <c r="AO71" s="49">
        <f t="shared" si="71"/>
        <v>0</v>
      </c>
      <c r="AP71" s="49">
        <f t="shared" si="71"/>
        <v>0</v>
      </c>
      <c r="AQ71" s="49">
        <f t="shared" si="71"/>
        <v>65</v>
      </c>
      <c r="AR71" s="49">
        <f t="shared" si="71"/>
        <v>195</v>
      </c>
      <c r="AS71" s="49">
        <f t="shared" si="71"/>
        <v>0</v>
      </c>
      <c r="AT71" s="49">
        <f t="shared" si="71"/>
        <v>0</v>
      </c>
      <c r="AU71" s="49">
        <f>SUBTOTAL(9,AU69:AU70)</f>
        <v>0</v>
      </c>
      <c r="AV71" s="49">
        <f t="shared" si="71"/>
        <v>0</v>
      </c>
      <c r="AW71" s="49">
        <f t="shared" si="71"/>
        <v>0</v>
      </c>
      <c r="AX71" s="49">
        <f t="shared" si="71"/>
        <v>0</v>
      </c>
      <c r="AY71" s="49">
        <f t="shared" si="71"/>
        <v>0</v>
      </c>
      <c r="AZ71" s="44">
        <f t="shared" si="71"/>
        <v>260</v>
      </c>
      <c r="BA71" s="48">
        <f t="shared" si="71"/>
        <v>0</v>
      </c>
      <c r="BB71" s="48">
        <f t="shared" si="71"/>
        <v>0</v>
      </c>
      <c r="BC71" s="44">
        <f t="shared" si="71"/>
        <v>0</v>
      </c>
      <c r="BD71" s="44">
        <f t="shared" si="71"/>
        <v>0</v>
      </c>
      <c r="BE71" s="49">
        <f t="shared" si="71"/>
        <v>0</v>
      </c>
      <c r="BF71" s="49">
        <f>SUBTOTAL(9,BF69:BF70)</f>
        <v>0</v>
      </c>
      <c r="BG71" s="49">
        <f t="shared" si="71"/>
        <v>340</v>
      </c>
      <c r="BH71" s="49">
        <f t="shared" si="71"/>
        <v>0</v>
      </c>
      <c r="BI71" s="49">
        <f t="shared" si="71"/>
        <v>0</v>
      </c>
      <c r="BJ71" s="49">
        <f t="shared" si="71"/>
        <v>0</v>
      </c>
      <c r="BK71" s="49">
        <f t="shared" si="71"/>
        <v>0</v>
      </c>
      <c r="BL71" s="49">
        <f t="shared" si="71"/>
        <v>0</v>
      </c>
      <c r="BM71" s="49">
        <f t="shared" si="71"/>
        <v>0</v>
      </c>
      <c r="BN71" s="49">
        <f t="shared" si="71"/>
        <v>0</v>
      </c>
      <c r="BO71" s="49">
        <f t="shared" si="71"/>
        <v>0</v>
      </c>
      <c r="BP71" s="49">
        <f t="shared" si="71"/>
        <v>0</v>
      </c>
      <c r="BQ71" s="49">
        <f t="shared" si="71"/>
        <v>0</v>
      </c>
      <c r="BR71" s="44">
        <f>SUBTOTAL(9,BR69:BR70)</f>
        <v>260</v>
      </c>
    </row>
    <row r="72" spans="1:97">
      <c r="A72" s="199">
        <f>+A69+1</f>
        <v>43181</v>
      </c>
      <c r="B72" s="16" t="s">
        <v>43</v>
      </c>
      <c r="C72" s="33" t="s">
        <v>154</v>
      </c>
      <c r="D72" s="34"/>
      <c r="E72" s="34"/>
      <c r="F72" s="171"/>
      <c r="G72" s="33">
        <f>IF(E72-D72&lt;0,E72-D72,0)*-1</f>
        <v>0</v>
      </c>
      <c r="H72" s="33">
        <f>IF(E72-D72&gt;0,E72-D72,0)</f>
        <v>0</v>
      </c>
      <c r="I72" s="34"/>
      <c r="J72" s="34"/>
      <c r="K72" s="34"/>
      <c r="L72" s="34"/>
      <c r="M72" s="36">
        <f>(+K72)*M$5</f>
        <v>0</v>
      </c>
      <c r="N72" s="36">
        <f>(+K72)*N$5</f>
        <v>0</v>
      </c>
      <c r="O72" s="36">
        <f>+K72-M72-N72+P72</f>
        <v>0</v>
      </c>
      <c r="P72" s="36"/>
      <c r="Q72" s="37"/>
      <c r="R72" s="34"/>
      <c r="S72" s="34"/>
      <c r="T72" s="36"/>
      <c r="U72" s="36"/>
      <c r="V72" s="36"/>
      <c r="W72" s="36"/>
      <c r="X72" s="37"/>
      <c r="Y72" s="34"/>
      <c r="Z72" s="34"/>
      <c r="AA72" s="34"/>
      <c r="AB72" s="34"/>
      <c r="AC72" s="34"/>
      <c r="AD72" s="38"/>
      <c r="AE72" s="38"/>
      <c r="AF72" s="34"/>
      <c r="AG72" s="33">
        <f>(AF72*0.8)*0.85</f>
        <v>0</v>
      </c>
      <c r="AH72" s="33">
        <f>(AF72*0.8)*0.15</f>
        <v>0</v>
      </c>
      <c r="AI72" s="33">
        <f>AF72*0.2</f>
        <v>0</v>
      </c>
      <c r="AJ72" s="34"/>
      <c r="AK72" s="33">
        <v>0</v>
      </c>
      <c r="AL72" s="33">
        <f>AK72-SUM(Y72:AC72)</f>
        <v>0</v>
      </c>
      <c r="AM72" s="33">
        <f>+AL72*0.12</f>
        <v>0</v>
      </c>
      <c r="AN72" s="33">
        <f>+AM72+AL72+AJ72</f>
        <v>0</v>
      </c>
      <c r="AO72" s="39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33">
        <f>SUM(AO72:AY72)</f>
        <v>0</v>
      </c>
      <c r="BA72" s="38"/>
      <c r="BB72" s="38"/>
      <c r="BC72" s="33">
        <f>SUM(BE72:BM72)*0.1+(BN72*0.5)</f>
        <v>0</v>
      </c>
      <c r="BD72" s="33">
        <f>SUM(BE72:BM72)+(BN72*0.5)</f>
        <v>0</v>
      </c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41">
        <f>AZ72+BA72+BB72+BD72-BC72</f>
        <v>0</v>
      </c>
      <c r="BT72" s="146"/>
      <c r="BU72" s="145"/>
      <c r="BV72" s="145"/>
      <c r="BW72" s="145"/>
      <c r="BX72" s="145"/>
      <c r="BY72" s="145"/>
      <c r="BZ72" s="145"/>
      <c r="CA72" s="145"/>
      <c r="CB72" s="145"/>
      <c r="CC72" s="145"/>
      <c r="CD72" s="145"/>
      <c r="CE72" s="145"/>
      <c r="CF72" s="145"/>
      <c r="CG72" s="145"/>
      <c r="CH72" s="145"/>
      <c r="CI72" s="145"/>
      <c r="CJ72" s="145"/>
      <c r="CK72" s="145"/>
      <c r="CL72" s="145"/>
      <c r="CM72" s="145"/>
      <c r="CN72" s="145"/>
      <c r="CO72" s="145"/>
      <c r="CP72" s="145"/>
      <c r="CQ72" s="145"/>
      <c r="CR72" s="145"/>
      <c r="CS72" s="145"/>
    </row>
    <row r="73" spans="1:97" ht="15.75" thickBot="1">
      <c r="A73" s="200"/>
      <c r="B73" s="16" t="s">
        <v>44</v>
      </c>
      <c r="C73" s="33"/>
      <c r="D73" s="34"/>
      <c r="E73" s="34"/>
      <c r="F73" s="171"/>
      <c r="G73" s="33">
        <f>IF(E73-D73&lt;0,E73-D73,0)*-1</f>
        <v>0</v>
      </c>
      <c r="H73" s="33">
        <f>IF(E73-D73&gt;0,E73-D73,0)</f>
        <v>0</v>
      </c>
      <c r="I73" s="34"/>
      <c r="J73" s="34"/>
      <c r="K73" s="34"/>
      <c r="L73" s="34"/>
      <c r="M73" s="36">
        <f>(+K73)*M$5</f>
        <v>0</v>
      </c>
      <c r="N73" s="36">
        <f>(+K73)*N$5</f>
        <v>0</v>
      </c>
      <c r="O73" s="36">
        <f>+K73-M73-N73+P73</f>
        <v>0</v>
      </c>
      <c r="P73" s="36"/>
      <c r="Q73" s="37"/>
      <c r="R73" s="34"/>
      <c r="S73" s="34"/>
      <c r="T73" s="36"/>
      <c r="U73" s="36"/>
      <c r="V73" s="36"/>
      <c r="W73" s="36"/>
      <c r="X73" s="37"/>
      <c r="Y73" s="34"/>
      <c r="Z73" s="34"/>
      <c r="AA73" s="34"/>
      <c r="AB73" s="34"/>
      <c r="AC73" s="34"/>
      <c r="AD73" s="38"/>
      <c r="AE73" s="38"/>
      <c r="AF73" s="34"/>
      <c r="AG73" s="33">
        <f>(AF73*0.8)*0.85</f>
        <v>0</v>
      </c>
      <c r="AH73" s="33">
        <f>(AF73*0.8)*0.15</f>
        <v>0</v>
      </c>
      <c r="AI73" s="33">
        <f>AF73*0.2</f>
        <v>0</v>
      </c>
      <c r="AJ73" s="34"/>
      <c r="AK73" s="33">
        <f>(C73-AF73-AJ73)/1.12</f>
        <v>0</v>
      </c>
      <c r="AL73" s="33">
        <f>AK73-SUM(Y73:AC73)</f>
        <v>0</v>
      </c>
      <c r="AM73" s="33">
        <f>+AL73*0.12</f>
        <v>0</v>
      </c>
      <c r="AN73" s="33">
        <f>+AM73+AL73+AJ73</f>
        <v>0</v>
      </c>
      <c r="AO73" s="39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33">
        <f>SUM(AO73:AY73)</f>
        <v>0</v>
      </c>
      <c r="BA73" s="38"/>
      <c r="BB73" s="38"/>
      <c r="BC73" s="33">
        <f>SUM(BE73:BM73)*0.1+(BN73*0.5)</f>
        <v>0</v>
      </c>
      <c r="BD73" s="33">
        <f>SUM(BE73:BM73)+(BN73*0.5)</f>
        <v>0</v>
      </c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41">
        <f>AZ73+BA73+BB73+BD73-BC73</f>
        <v>0</v>
      </c>
      <c r="BT73" s="146"/>
      <c r="BU73" s="145"/>
      <c r="BV73" s="145"/>
      <c r="BW73" s="145"/>
      <c r="BX73" s="145"/>
      <c r="BY73" s="145"/>
      <c r="BZ73" s="145"/>
      <c r="CA73" s="145"/>
      <c r="CB73" s="145"/>
      <c r="CC73" s="145"/>
      <c r="CD73" s="145"/>
      <c r="CE73" s="145"/>
      <c r="CF73" s="145"/>
      <c r="CG73" s="145"/>
      <c r="CH73" s="145"/>
      <c r="CI73" s="145"/>
      <c r="CJ73" s="145"/>
      <c r="CK73" s="145"/>
      <c r="CL73" s="145"/>
      <c r="CM73" s="145"/>
      <c r="CN73" s="145"/>
      <c r="CO73" s="145"/>
      <c r="CP73" s="145"/>
      <c r="CQ73" s="145"/>
      <c r="CR73" s="145"/>
      <c r="CS73" s="145"/>
    </row>
    <row r="74" spans="1:97" ht="15.75" thickBot="1">
      <c r="A74" s="42"/>
      <c r="B74" s="43"/>
      <c r="C74" s="44">
        <f>SUBTOTAL(9,C72:C73)</f>
        <v>0</v>
      </c>
      <c r="D74" s="45">
        <f>SUBTOTAL(9,D72:D73)</f>
        <v>0</v>
      </c>
      <c r="E74" s="45">
        <f>SUBTOTAL(9,E72:E73)</f>
        <v>0</v>
      </c>
      <c r="F74" s="172"/>
      <c r="G74" s="45">
        <f t="shared" ref="G74:P74" si="72">SUBTOTAL(9,G72:G73)</f>
        <v>0</v>
      </c>
      <c r="H74" s="45">
        <f t="shared" si="72"/>
        <v>0</v>
      </c>
      <c r="I74" s="162">
        <f t="shared" si="72"/>
        <v>0</v>
      </c>
      <c r="J74" s="162">
        <f t="shared" si="72"/>
        <v>0</v>
      </c>
      <c r="K74" s="162">
        <f t="shared" si="72"/>
        <v>0</v>
      </c>
      <c r="L74" s="162">
        <f t="shared" si="72"/>
        <v>0</v>
      </c>
      <c r="M74" s="46">
        <f t="shared" si="72"/>
        <v>0</v>
      </c>
      <c r="N74" s="46">
        <f t="shared" si="72"/>
        <v>0</v>
      </c>
      <c r="O74" s="46">
        <f t="shared" si="72"/>
        <v>0</v>
      </c>
      <c r="P74" s="46">
        <f t="shared" si="72"/>
        <v>0</v>
      </c>
      <c r="Q74" s="47"/>
      <c r="R74" s="45">
        <f t="shared" ref="R74:BQ74" si="73">SUBTOTAL(9,R72:R73)</f>
        <v>0</v>
      </c>
      <c r="S74" s="45">
        <f t="shared" si="73"/>
        <v>0</v>
      </c>
      <c r="T74" s="46">
        <f t="shared" si="73"/>
        <v>0</v>
      </c>
      <c r="U74" s="46">
        <f t="shared" si="73"/>
        <v>0</v>
      </c>
      <c r="V74" s="46">
        <f t="shared" si="73"/>
        <v>0</v>
      </c>
      <c r="W74" s="46">
        <f t="shared" si="73"/>
        <v>0</v>
      </c>
      <c r="X74" s="47"/>
      <c r="Y74" s="45">
        <f>SUBTOTAL(9,Y72:Y73)</f>
        <v>0</v>
      </c>
      <c r="Z74" s="45"/>
      <c r="AA74" s="45"/>
      <c r="AB74" s="45"/>
      <c r="AC74" s="45"/>
      <c r="AD74" s="48"/>
      <c r="AE74" s="48"/>
      <c r="AF74" s="45"/>
      <c r="AG74" s="44">
        <f t="shared" si="73"/>
        <v>0</v>
      </c>
      <c r="AH74" s="44">
        <f t="shared" si="73"/>
        <v>0</v>
      </c>
      <c r="AI74" s="44">
        <f t="shared" si="73"/>
        <v>0</v>
      </c>
      <c r="AJ74" s="45">
        <f t="shared" si="73"/>
        <v>0</v>
      </c>
      <c r="AK74" s="44">
        <f t="shared" si="73"/>
        <v>0</v>
      </c>
      <c r="AL74" s="44">
        <f t="shared" si="73"/>
        <v>0</v>
      </c>
      <c r="AM74" s="44">
        <f t="shared" si="73"/>
        <v>0</v>
      </c>
      <c r="AN74" s="44">
        <f t="shared" si="42"/>
        <v>0</v>
      </c>
      <c r="AO74" s="49">
        <f t="shared" si="73"/>
        <v>0</v>
      </c>
      <c r="AP74" s="49">
        <f t="shared" si="73"/>
        <v>0</v>
      </c>
      <c r="AQ74" s="49">
        <f t="shared" si="73"/>
        <v>0</v>
      </c>
      <c r="AR74" s="49">
        <f t="shared" si="73"/>
        <v>0</v>
      </c>
      <c r="AS74" s="49">
        <f t="shared" si="73"/>
        <v>0</v>
      </c>
      <c r="AT74" s="49">
        <f t="shared" si="73"/>
        <v>0</v>
      </c>
      <c r="AU74" s="49">
        <f>SUBTOTAL(9,AU72:AU73)</f>
        <v>0</v>
      </c>
      <c r="AV74" s="49">
        <f t="shared" si="73"/>
        <v>0</v>
      </c>
      <c r="AW74" s="49">
        <f t="shared" si="73"/>
        <v>0</v>
      </c>
      <c r="AX74" s="49">
        <f t="shared" si="73"/>
        <v>0</v>
      </c>
      <c r="AY74" s="49">
        <f t="shared" si="73"/>
        <v>0</v>
      </c>
      <c r="AZ74" s="44">
        <f t="shared" si="73"/>
        <v>0</v>
      </c>
      <c r="BA74" s="48">
        <f t="shared" si="73"/>
        <v>0</v>
      </c>
      <c r="BB74" s="48">
        <f t="shared" si="73"/>
        <v>0</v>
      </c>
      <c r="BC74" s="44">
        <f t="shared" si="73"/>
        <v>0</v>
      </c>
      <c r="BD74" s="44">
        <f t="shared" si="73"/>
        <v>0</v>
      </c>
      <c r="BE74" s="49">
        <f t="shared" si="73"/>
        <v>0</v>
      </c>
      <c r="BF74" s="49">
        <f>SUBTOTAL(9,BF72:BF73)</f>
        <v>0</v>
      </c>
      <c r="BG74" s="49">
        <f t="shared" si="73"/>
        <v>0</v>
      </c>
      <c r="BH74" s="49">
        <f t="shared" si="73"/>
        <v>0</v>
      </c>
      <c r="BI74" s="49">
        <f t="shared" si="73"/>
        <v>0</v>
      </c>
      <c r="BJ74" s="49">
        <f t="shared" si="73"/>
        <v>0</v>
      </c>
      <c r="BK74" s="49">
        <f t="shared" si="73"/>
        <v>0</v>
      </c>
      <c r="BL74" s="49">
        <f t="shared" si="73"/>
        <v>0</v>
      </c>
      <c r="BM74" s="49">
        <f t="shared" si="73"/>
        <v>0</v>
      </c>
      <c r="BN74" s="49">
        <f t="shared" si="73"/>
        <v>0</v>
      </c>
      <c r="BO74" s="49">
        <f t="shared" si="73"/>
        <v>0</v>
      </c>
      <c r="BP74" s="49">
        <f t="shared" si="73"/>
        <v>0</v>
      </c>
      <c r="BQ74" s="49">
        <f t="shared" si="73"/>
        <v>0</v>
      </c>
      <c r="BR74" s="44">
        <f>SUBTOTAL(9,BR72:BR73)</f>
        <v>0</v>
      </c>
    </row>
    <row r="75" spans="1:97">
      <c r="A75" s="199">
        <f>+A72+1</f>
        <v>43182</v>
      </c>
      <c r="B75" s="16" t="s">
        <v>43</v>
      </c>
      <c r="C75" s="33">
        <v>13457.02</v>
      </c>
      <c r="D75" s="34">
        <v>9930.6299999999992</v>
      </c>
      <c r="E75" s="34">
        <v>9931</v>
      </c>
      <c r="F75" s="171">
        <v>43213</v>
      </c>
      <c r="G75" s="33">
        <f>IF(E75-D75&lt;0,E75-D75,0)*-1</f>
        <v>0</v>
      </c>
      <c r="H75" s="33">
        <f>IF(E75-D75&gt;0,E75-D75,0)</f>
        <v>0.37000000000080036</v>
      </c>
      <c r="I75" s="34"/>
      <c r="J75" s="34"/>
      <c r="K75" s="34">
        <v>3360.45</v>
      </c>
      <c r="L75" s="34"/>
      <c r="M75" s="36">
        <f>(+K75)*M$5</f>
        <v>72.249674999999996</v>
      </c>
      <c r="N75" s="36">
        <f>(+K75)*N$5</f>
        <v>16.802250000000001</v>
      </c>
      <c r="O75" s="36">
        <f>+K75-M75-N75+P75</f>
        <v>3271.3980749999996</v>
      </c>
      <c r="P75" s="36"/>
      <c r="Q75" s="37"/>
      <c r="R75" s="34"/>
      <c r="S75" s="34"/>
      <c r="T75" s="36"/>
      <c r="U75" s="36"/>
      <c r="V75" s="36"/>
      <c r="W75" s="36"/>
      <c r="X75" s="37"/>
      <c r="Y75" s="34"/>
      <c r="Z75" s="34">
        <v>3</v>
      </c>
      <c r="AA75" s="34"/>
      <c r="AB75" s="34"/>
      <c r="AC75" s="34">
        <v>162.94</v>
      </c>
      <c r="AD75" s="38"/>
      <c r="AE75" s="38"/>
      <c r="AF75" s="34">
        <v>1029.79</v>
      </c>
      <c r="AG75" s="33">
        <f>(AF75*0.8)*0.85</f>
        <v>700.25720000000001</v>
      </c>
      <c r="AH75" s="33">
        <f>(AF75*0.8)*0.15</f>
        <v>123.5748</v>
      </c>
      <c r="AI75" s="33">
        <f>AF75*0.2</f>
        <v>205.958</v>
      </c>
      <c r="AJ75" s="34"/>
      <c r="AK75" s="33">
        <f>(C75-AF75-AJ75)/1.12</f>
        <v>11095.741071428571</v>
      </c>
      <c r="AL75" s="33">
        <f>AK75-SUM(Y75:AC75)</f>
        <v>10929.80107142857</v>
      </c>
      <c r="AM75" s="33">
        <f>+AL75*0.12</f>
        <v>1311.5761285714284</v>
      </c>
      <c r="AN75" s="33">
        <f t="shared" si="42"/>
        <v>12241.377199999999</v>
      </c>
      <c r="AO75" s="39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33">
        <f>SUM(AO75:AY75)</f>
        <v>0</v>
      </c>
      <c r="BA75" s="38"/>
      <c r="BB75" s="38"/>
      <c r="BC75" s="33">
        <f>SUM(BE75:BM75)*0.1+(BN75*0.5)</f>
        <v>0</v>
      </c>
      <c r="BD75" s="33">
        <f>SUM(BE75:BM75)+(BN75*0.5)</f>
        <v>0</v>
      </c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41">
        <f>AZ75+BA75+BB75+BD75-BC75</f>
        <v>0</v>
      </c>
      <c r="BT75" s="146"/>
      <c r="BU75" s="145"/>
      <c r="BV75" s="145"/>
      <c r="BW75" s="145"/>
      <c r="BX75" s="145"/>
      <c r="BY75" s="145"/>
      <c r="BZ75" s="145"/>
      <c r="CA75" s="145"/>
      <c r="CB75" s="145"/>
      <c r="CC75" s="145"/>
      <c r="CD75" s="145"/>
      <c r="CE75" s="145"/>
      <c r="CF75" s="145"/>
      <c r="CG75" s="145"/>
      <c r="CH75" s="145"/>
      <c r="CI75" s="145"/>
      <c r="CJ75" s="145"/>
      <c r="CK75" s="145"/>
      <c r="CL75" s="145"/>
      <c r="CM75" s="145"/>
      <c r="CN75" s="145"/>
      <c r="CO75" s="145"/>
      <c r="CP75" s="145"/>
      <c r="CQ75" s="145"/>
      <c r="CR75" s="145"/>
      <c r="CS75" s="145"/>
    </row>
    <row r="76" spans="1:97" ht="15.75" thickBot="1">
      <c r="A76" s="200"/>
      <c r="B76" s="16" t="s">
        <v>44</v>
      </c>
      <c r="C76" s="33">
        <v>11878.87</v>
      </c>
      <c r="D76" s="34">
        <v>8042.25</v>
      </c>
      <c r="E76" s="34">
        <v>8045</v>
      </c>
      <c r="F76" s="171">
        <v>43214</v>
      </c>
      <c r="G76" s="33">
        <f>IF(E76-D76&lt;0,E76-D76,0)*-1</f>
        <v>0</v>
      </c>
      <c r="H76" s="33">
        <f>IF(E76-D76&gt;0,E76-D76,0)</f>
        <v>2.75</v>
      </c>
      <c r="I76" s="34"/>
      <c r="J76" s="34"/>
      <c r="K76" s="34">
        <v>3600.91</v>
      </c>
      <c r="L76" s="34"/>
      <c r="M76" s="36">
        <f>(+K76)*M$5</f>
        <v>77.419564999999992</v>
      </c>
      <c r="N76" s="36">
        <f>(+K76)*N$5</f>
        <v>18.004549999999998</v>
      </c>
      <c r="O76" s="36">
        <f>+K76-M76-N76+P76</f>
        <v>3505.4858849999996</v>
      </c>
      <c r="P76" s="36"/>
      <c r="Q76" s="37"/>
      <c r="R76" s="34"/>
      <c r="S76" s="34"/>
      <c r="T76" s="36"/>
      <c r="U76" s="36"/>
      <c r="V76" s="36"/>
      <c r="W76" s="36"/>
      <c r="X76" s="37"/>
      <c r="Y76" s="34"/>
      <c r="Z76" s="34"/>
      <c r="AA76" s="34"/>
      <c r="AB76" s="34"/>
      <c r="AC76" s="34">
        <v>235.71</v>
      </c>
      <c r="AD76" s="38"/>
      <c r="AE76" s="38"/>
      <c r="AF76" s="34">
        <v>833.3</v>
      </c>
      <c r="AG76" s="33">
        <f>(AF76*0.8)*0.85</f>
        <v>566.64400000000001</v>
      </c>
      <c r="AH76" s="33">
        <f>(AF76*0.8)*0.15</f>
        <v>99.995999999999995</v>
      </c>
      <c r="AI76" s="33">
        <f>AF76*0.2</f>
        <v>166.66</v>
      </c>
      <c r="AJ76" s="34"/>
      <c r="AK76" s="33">
        <f>(C76-AF76-AJ76)/1.12</f>
        <v>9862.1160714285725</v>
      </c>
      <c r="AL76" s="33">
        <f>AK76-SUM(Y76:AC76)</f>
        <v>9626.4060714285733</v>
      </c>
      <c r="AM76" s="33">
        <f>+AL76*0.12</f>
        <v>1155.1687285714288</v>
      </c>
      <c r="AN76" s="33">
        <f t="shared" si="42"/>
        <v>10781.574800000002</v>
      </c>
      <c r="AO76" s="39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33">
        <f>SUM(AO76:AY76)</f>
        <v>0</v>
      </c>
      <c r="BA76" s="38"/>
      <c r="BB76" s="38">
        <v>0</v>
      </c>
      <c r="BC76" s="33"/>
      <c r="BD76" s="33"/>
      <c r="BE76" s="39"/>
      <c r="BF76" s="39"/>
      <c r="BG76" s="39">
        <v>0</v>
      </c>
      <c r="BH76" s="39"/>
      <c r="BI76" s="39">
        <v>0</v>
      </c>
      <c r="BJ76" s="39">
        <v>215</v>
      </c>
      <c r="BK76" s="39"/>
      <c r="BL76" s="39"/>
      <c r="BM76" s="39"/>
      <c r="BN76" s="39"/>
      <c r="BO76" s="39"/>
      <c r="BP76" s="39"/>
      <c r="BQ76" s="39"/>
      <c r="BR76" s="41">
        <f>AZ76+BA76+BB76+BD76-BC76</f>
        <v>0</v>
      </c>
      <c r="BT76" s="146"/>
      <c r="BU76" s="145"/>
      <c r="BV76" s="145"/>
      <c r="BW76" s="145"/>
      <c r="BX76" s="145"/>
      <c r="BY76" s="145"/>
      <c r="BZ76" s="145"/>
      <c r="CA76" s="145"/>
      <c r="CB76" s="145"/>
      <c r="CC76" s="145"/>
      <c r="CD76" s="145"/>
      <c r="CE76" s="145"/>
      <c r="CF76" s="145"/>
      <c r="CG76" s="145"/>
      <c r="CH76" s="145"/>
      <c r="CI76" s="145"/>
      <c r="CJ76" s="145"/>
      <c r="CK76" s="145"/>
      <c r="CL76" s="145"/>
      <c r="CM76" s="145"/>
      <c r="CN76" s="145"/>
      <c r="CO76" s="145"/>
      <c r="CP76" s="145"/>
      <c r="CQ76" s="145"/>
      <c r="CR76" s="145"/>
      <c r="CS76" s="145"/>
    </row>
    <row r="77" spans="1:97" ht="15.75" thickBot="1">
      <c r="A77" s="42"/>
      <c r="B77" s="43"/>
      <c r="C77" s="44">
        <f>SUBTOTAL(9,C75:C76)</f>
        <v>25335.89</v>
      </c>
      <c r="D77" s="45">
        <f>SUBTOTAL(9,D75:D76)</f>
        <v>17972.879999999997</v>
      </c>
      <c r="E77" s="45">
        <f>SUBTOTAL(9,E75:E76)</f>
        <v>17976</v>
      </c>
      <c r="F77" s="172"/>
      <c r="G77" s="45">
        <f t="shared" ref="G77:P77" si="74">SUBTOTAL(9,G75:G76)</f>
        <v>0</v>
      </c>
      <c r="H77" s="45">
        <f t="shared" si="74"/>
        <v>3.1200000000008004</v>
      </c>
      <c r="I77" s="45">
        <f t="shared" si="74"/>
        <v>0</v>
      </c>
      <c r="J77" s="45">
        <f t="shared" si="74"/>
        <v>0</v>
      </c>
      <c r="K77" s="45"/>
      <c r="L77" s="45">
        <f t="shared" si="74"/>
        <v>0</v>
      </c>
      <c r="M77" s="46">
        <f t="shared" si="74"/>
        <v>149.66924</v>
      </c>
      <c r="N77" s="46">
        <f t="shared" si="74"/>
        <v>34.806799999999996</v>
      </c>
      <c r="O77" s="46">
        <f t="shared" si="74"/>
        <v>6776.8839599999992</v>
      </c>
      <c r="P77" s="46">
        <f t="shared" si="74"/>
        <v>0</v>
      </c>
      <c r="Q77" s="116"/>
      <c r="R77" s="45">
        <f t="shared" ref="R77:BQ77" si="75">SUBTOTAL(9,R75:R76)</f>
        <v>0</v>
      </c>
      <c r="S77" s="45">
        <f t="shared" si="75"/>
        <v>0</v>
      </c>
      <c r="T77" s="46">
        <f t="shared" si="75"/>
        <v>0</v>
      </c>
      <c r="U77" s="46">
        <f t="shared" si="75"/>
        <v>0</v>
      </c>
      <c r="V77" s="46">
        <f t="shared" si="75"/>
        <v>0</v>
      </c>
      <c r="W77" s="46">
        <f t="shared" si="75"/>
        <v>0</v>
      </c>
      <c r="X77" s="47"/>
      <c r="Y77" s="45">
        <f>SUBTOTAL(9,Y75:Y76)</f>
        <v>0</v>
      </c>
      <c r="Z77" s="45"/>
      <c r="AA77" s="45"/>
      <c r="AB77" s="45"/>
      <c r="AC77" s="45"/>
      <c r="AD77" s="48"/>
      <c r="AE77" s="48"/>
      <c r="AF77" s="45"/>
      <c r="AG77" s="44">
        <f t="shared" si="75"/>
        <v>1266.9012</v>
      </c>
      <c r="AH77" s="44">
        <f t="shared" si="75"/>
        <v>223.57079999999999</v>
      </c>
      <c r="AI77" s="44">
        <f t="shared" si="75"/>
        <v>372.61799999999999</v>
      </c>
      <c r="AJ77" s="45">
        <f t="shared" si="75"/>
        <v>0</v>
      </c>
      <c r="AK77" s="44">
        <f t="shared" si="75"/>
        <v>20957.857142857145</v>
      </c>
      <c r="AL77" s="44">
        <f t="shared" si="75"/>
        <v>20556.207142857143</v>
      </c>
      <c r="AM77" s="44">
        <f t="shared" si="75"/>
        <v>2466.7448571428572</v>
      </c>
      <c r="AN77" s="44">
        <f t="shared" ref="AN77:AN102" si="76">+AM77+AL77+AJ77</f>
        <v>23022.952000000001</v>
      </c>
      <c r="AO77" s="49">
        <f t="shared" si="75"/>
        <v>0</v>
      </c>
      <c r="AP77" s="49">
        <f t="shared" si="75"/>
        <v>0</v>
      </c>
      <c r="AQ77" s="49">
        <f t="shared" si="75"/>
        <v>0</v>
      </c>
      <c r="AR77" s="49">
        <f t="shared" si="75"/>
        <v>0</v>
      </c>
      <c r="AS77" s="49">
        <f t="shared" si="75"/>
        <v>0</v>
      </c>
      <c r="AT77" s="49">
        <f t="shared" si="75"/>
        <v>0</v>
      </c>
      <c r="AU77" s="49">
        <f>SUBTOTAL(9,AU75:AU76)</f>
        <v>0</v>
      </c>
      <c r="AV77" s="49">
        <f t="shared" si="75"/>
        <v>0</v>
      </c>
      <c r="AW77" s="49">
        <f t="shared" si="75"/>
        <v>0</v>
      </c>
      <c r="AX77" s="49">
        <f t="shared" si="75"/>
        <v>0</v>
      </c>
      <c r="AY77" s="49">
        <f t="shared" si="75"/>
        <v>0</v>
      </c>
      <c r="AZ77" s="44">
        <f t="shared" si="75"/>
        <v>0</v>
      </c>
      <c r="BA77" s="48">
        <f t="shared" si="75"/>
        <v>0</v>
      </c>
      <c r="BB77" s="48">
        <f t="shared" si="75"/>
        <v>0</v>
      </c>
      <c r="BC77" s="44">
        <f t="shared" si="75"/>
        <v>0</v>
      </c>
      <c r="BD77" s="44">
        <f t="shared" si="75"/>
        <v>0</v>
      </c>
      <c r="BE77" s="49">
        <f t="shared" si="75"/>
        <v>0</v>
      </c>
      <c r="BF77" s="49">
        <f>SUBTOTAL(9,BF75:BF76)</f>
        <v>0</v>
      </c>
      <c r="BG77" s="49">
        <f t="shared" si="75"/>
        <v>0</v>
      </c>
      <c r="BH77" s="49">
        <f t="shared" si="75"/>
        <v>0</v>
      </c>
      <c r="BI77" s="49">
        <f t="shared" si="75"/>
        <v>0</v>
      </c>
      <c r="BJ77" s="49">
        <f t="shared" si="75"/>
        <v>215</v>
      </c>
      <c r="BK77" s="49">
        <f t="shared" si="75"/>
        <v>0</v>
      </c>
      <c r="BL77" s="49">
        <f t="shared" si="75"/>
        <v>0</v>
      </c>
      <c r="BM77" s="49">
        <f t="shared" si="75"/>
        <v>0</v>
      </c>
      <c r="BN77" s="49">
        <f t="shared" si="75"/>
        <v>0</v>
      </c>
      <c r="BO77" s="49">
        <f t="shared" si="75"/>
        <v>0</v>
      </c>
      <c r="BP77" s="49">
        <f t="shared" si="75"/>
        <v>0</v>
      </c>
      <c r="BQ77" s="49">
        <f t="shared" si="75"/>
        <v>0</v>
      </c>
      <c r="BR77" s="44">
        <f>SUBTOTAL(9,BR75:BR76)</f>
        <v>0</v>
      </c>
    </row>
    <row r="78" spans="1:97">
      <c r="A78" s="199">
        <f>+A75+1</f>
        <v>43183</v>
      </c>
      <c r="B78" s="16" t="s">
        <v>43</v>
      </c>
      <c r="C78" s="33">
        <v>22925.759999999998</v>
      </c>
      <c r="D78" s="34">
        <v>13979.6</v>
      </c>
      <c r="E78" s="34">
        <v>13980</v>
      </c>
      <c r="F78" s="171">
        <v>43214</v>
      </c>
      <c r="G78" s="33">
        <f>IF(E78-D78&lt;0,E78-D78,0)*-1</f>
        <v>0</v>
      </c>
      <c r="H78" s="33">
        <f>IF(E78-D78&gt;0,E78-D78,0)</f>
        <v>0.3999999999996362</v>
      </c>
      <c r="I78" s="34"/>
      <c r="J78" s="34"/>
      <c r="K78" s="34">
        <v>8719.7800000000007</v>
      </c>
      <c r="L78" s="34"/>
      <c r="M78" s="36">
        <f>(+K78)*M$5</f>
        <v>187.47526999999999</v>
      </c>
      <c r="N78" s="36">
        <f>(+K78)*N$5</f>
        <v>43.598900000000008</v>
      </c>
      <c r="O78" s="36">
        <f>+K78-M78-N78+P78</f>
        <v>8488.705829999999</v>
      </c>
      <c r="P78" s="36">
        <f>L78-(L78*(M$5+N$5))</f>
        <v>0</v>
      </c>
      <c r="Q78" s="37"/>
      <c r="R78" s="34"/>
      <c r="S78" s="34"/>
      <c r="T78" s="36">
        <f>+R78*T$5</f>
        <v>0</v>
      </c>
      <c r="U78" s="36">
        <f>+R78*U$5</f>
        <v>0</v>
      </c>
      <c r="V78" s="36">
        <f>+R78-T78-U78+W78</f>
        <v>0</v>
      </c>
      <c r="W78" s="36">
        <f>+S78-(S78*(T$5+U$5))</f>
        <v>0</v>
      </c>
      <c r="X78" s="37"/>
      <c r="Y78" s="34"/>
      <c r="Z78" s="34">
        <v>10.75</v>
      </c>
      <c r="AA78" s="34"/>
      <c r="AB78" s="34"/>
      <c r="AC78" s="34">
        <v>215.63</v>
      </c>
      <c r="AD78" s="38"/>
      <c r="AE78" s="38"/>
      <c r="AF78" s="34">
        <v>1762.14</v>
      </c>
      <c r="AG78" s="33">
        <f>(AF78*0.8)*0.85</f>
        <v>1198.2552000000001</v>
      </c>
      <c r="AH78" s="33">
        <f>(AF78*0.8)*0.15</f>
        <v>211.45680000000002</v>
      </c>
      <c r="AI78" s="33">
        <f>AF78*0.2</f>
        <v>352.42800000000005</v>
      </c>
      <c r="AJ78" s="34"/>
      <c r="AK78" s="33">
        <f>(C78-AF78-AJ78)/1.12</f>
        <v>18896.089285714283</v>
      </c>
      <c r="AL78" s="33">
        <f>AK78-SUM(Y78:AC78)</f>
        <v>18669.709285714282</v>
      </c>
      <c r="AM78" s="33">
        <f>+AL78*0.12</f>
        <v>2240.3651142857138</v>
      </c>
      <c r="AN78" s="33">
        <f t="shared" si="76"/>
        <v>20910.074399999994</v>
      </c>
      <c r="AO78" s="39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33">
        <f>SUM(AO78:AY78)</f>
        <v>0</v>
      </c>
      <c r="BA78" s="38"/>
      <c r="BB78" s="38"/>
      <c r="BC78" s="33">
        <f>SUM(BE78:BM78)*0.1+(BN78*0.5)</f>
        <v>0</v>
      </c>
      <c r="BD78" s="33">
        <f>SUM(BE78:BM78)+(BN78*0.5)</f>
        <v>0</v>
      </c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41">
        <f>AZ78+BA78+BB78+BD78-BC78</f>
        <v>0</v>
      </c>
      <c r="BT78" s="146"/>
      <c r="BU78" s="145"/>
      <c r="BV78" s="145"/>
      <c r="BW78" s="145"/>
      <c r="BX78" s="145"/>
      <c r="BY78" s="145"/>
      <c r="BZ78" s="145"/>
      <c r="CA78" s="145"/>
      <c r="CB78" s="145"/>
      <c r="CC78" s="145"/>
      <c r="CD78" s="145"/>
      <c r="CE78" s="145"/>
      <c r="CF78" s="145"/>
      <c r="CG78" s="145"/>
      <c r="CH78" s="145"/>
      <c r="CI78" s="145"/>
      <c r="CJ78" s="145"/>
      <c r="CK78" s="145"/>
      <c r="CL78" s="145"/>
      <c r="CM78" s="145"/>
      <c r="CN78" s="145"/>
      <c r="CO78" s="145"/>
      <c r="CP78" s="145"/>
      <c r="CQ78" s="145"/>
      <c r="CR78" s="145"/>
      <c r="CS78" s="145"/>
    </row>
    <row r="79" spans="1:97" ht="15.75" thickBot="1">
      <c r="A79" s="200"/>
      <c r="B79" s="16" t="s">
        <v>44</v>
      </c>
      <c r="C79" s="33">
        <v>13718.32</v>
      </c>
      <c r="D79" s="34">
        <v>13189.93</v>
      </c>
      <c r="E79" s="34">
        <v>13200</v>
      </c>
      <c r="F79" s="171">
        <v>43215</v>
      </c>
      <c r="G79" s="33">
        <f>IF(E79-D79&lt;0,E79-D79,0)*-1</f>
        <v>0</v>
      </c>
      <c r="H79" s="33">
        <f>IF(E79-D79&gt;0,E79-D79,0)</f>
        <v>10.069999999999709</v>
      </c>
      <c r="I79" s="34"/>
      <c r="J79" s="34"/>
      <c r="K79" s="34">
        <v>465</v>
      </c>
      <c r="L79" s="34"/>
      <c r="M79" s="36">
        <f>(+K79)*M$5</f>
        <v>9.9974999999999987</v>
      </c>
      <c r="N79" s="36">
        <f>(+K79)*N$5</f>
        <v>2.3250000000000002</v>
      </c>
      <c r="O79" s="36">
        <f>+K79-M79-N79+P79</f>
        <v>452.67750000000001</v>
      </c>
      <c r="P79" s="36">
        <f>L79-(L79*(M$5+N$5))</f>
        <v>0</v>
      </c>
      <c r="Q79" s="37"/>
      <c r="R79" s="34"/>
      <c r="S79" s="34"/>
      <c r="T79" s="36">
        <f>+R79*T$5</f>
        <v>0</v>
      </c>
      <c r="U79" s="36">
        <f>+R79*U$5</f>
        <v>0</v>
      </c>
      <c r="V79" s="36">
        <f>+R79-T79-U79+W79</f>
        <v>0</v>
      </c>
      <c r="W79" s="36">
        <f>+S79-(S79*(T$5+U$5))</f>
        <v>0</v>
      </c>
      <c r="X79" s="37"/>
      <c r="Y79" s="34"/>
      <c r="Z79" s="34"/>
      <c r="AA79" s="34"/>
      <c r="AB79" s="34"/>
      <c r="AC79" s="34">
        <v>63.39</v>
      </c>
      <c r="AD79" s="38"/>
      <c r="AE79" s="38"/>
      <c r="AF79" s="34">
        <v>1060.3599999999999</v>
      </c>
      <c r="AG79" s="33">
        <f>(AF79*0.8)*0.85</f>
        <v>721.04480000000001</v>
      </c>
      <c r="AH79" s="33">
        <f>(AF79*0.8)*0.15</f>
        <v>127.2432</v>
      </c>
      <c r="AI79" s="33">
        <f>AF79*0.2</f>
        <v>212.072</v>
      </c>
      <c r="AJ79" s="34"/>
      <c r="AK79" s="33">
        <f>(C79-AF79-AJ79)/1.12</f>
        <v>11301.749999999998</v>
      </c>
      <c r="AL79" s="33">
        <f>AK79-SUM(Y79:AC79)</f>
        <v>11238.359999999999</v>
      </c>
      <c r="AM79" s="33">
        <f>+AL79*0.12</f>
        <v>1348.6031999999998</v>
      </c>
      <c r="AN79" s="33">
        <f t="shared" si="76"/>
        <v>12586.963199999998</v>
      </c>
      <c r="AO79" s="39">
        <v>125</v>
      </c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33">
        <f>SUM(AO79:AY79)</f>
        <v>125</v>
      </c>
      <c r="BA79" s="38"/>
      <c r="BB79" s="38"/>
      <c r="BC79" s="33">
        <v>0</v>
      </c>
      <c r="BD79" s="33">
        <v>0</v>
      </c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41">
        <f>AZ79+BA79+BB79+BD79-BC79</f>
        <v>125</v>
      </c>
      <c r="BT79" s="146"/>
      <c r="BU79" s="145"/>
      <c r="BV79" s="145"/>
      <c r="BW79" s="145"/>
      <c r="BX79" s="145"/>
      <c r="BY79" s="145"/>
      <c r="BZ79" s="145"/>
      <c r="CA79" s="145"/>
      <c r="CB79" s="145"/>
      <c r="CC79" s="145"/>
      <c r="CD79" s="145"/>
      <c r="CE79" s="145"/>
      <c r="CF79" s="145"/>
      <c r="CG79" s="145"/>
      <c r="CH79" s="145"/>
      <c r="CI79" s="145"/>
      <c r="CJ79" s="145"/>
      <c r="CK79" s="145"/>
      <c r="CL79" s="145"/>
      <c r="CM79" s="145"/>
      <c r="CN79" s="145"/>
      <c r="CO79" s="145"/>
      <c r="CP79" s="145"/>
      <c r="CQ79" s="145"/>
      <c r="CR79" s="145"/>
      <c r="CS79" s="145"/>
    </row>
    <row r="80" spans="1:97" ht="15.75" thickBot="1">
      <c r="A80" s="42"/>
      <c r="B80" s="43"/>
      <c r="C80" s="44">
        <f>SUBTOTAL(9,C78:C79)</f>
        <v>36644.080000000002</v>
      </c>
      <c r="D80" s="45">
        <f>SUBTOTAL(9,D78:D79)</f>
        <v>27169.53</v>
      </c>
      <c r="E80" s="45">
        <f>SUBTOTAL(9,E78:E79)</f>
        <v>27180</v>
      </c>
      <c r="F80" s="172"/>
      <c r="G80" s="45">
        <f t="shared" ref="G80:P80" si="77">SUBTOTAL(9,G78:G79)</f>
        <v>0</v>
      </c>
      <c r="H80" s="45">
        <f t="shared" si="77"/>
        <v>10.469999999999345</v>
      </c>
      <c r="I80" s="45"/>
      <c r="J80" s="45">
        <f t="shared" si="77"/>
        <v>0</v>
      </c>
      <c r="K80" s="45"/>
      <c r="L80" s="45">
        <f t="shared" si="77"/>
        <v>0</v>
      </c>
      <c r="M80" s="46">
        <f t="shared" si="77"/>
        <v>197.47277</v>
      </c>
      <c r="N80" s="46">
        <f t="shared" si="77"/>
        <v>45.92390000000001</v>
      </c>
      <c r="O80" s="46">
        <f t="shared" si="77"/>
        <v>8941.3833299999988</v>
      </c>
      <c r="P80" s="46">
        <f t="shared" si="77"/>
        <v>0</v>
      </c>
      <c r="Q80" s="47"/>
      <c r="R80" s="45">
        <f t="shared" ref="R80:BQ80" si="78">SUBTOTAL(9,R78:R79)</f>
        <v>0</v>
      </c>
      <c r="S80" s="45">
        <f t="shared" si="78"/>
        <v>0</v>
      </c>
      <c r="T80" s="46">
        <f t="shared" si="78"/>
        <v>0</v>
      </c>
      <c r="U80" s="46">
        <f t="shared" si="78"/>
        <v>0</v>
      </c>
      <c r="V80" s="46">
        <f t="shared" si="78"/>
        <v>0</v>
      </c>
      <c r="W80" s="46">
        <f t="shared" si="78"/>
        <v>0</v>
      </c>
      <c r="X80" s="47"/>
      <c r="Y80" s="45">
        <f>SUBTOTAL(9,Y78:Y79)</f>
        <v>0</v>
      </c>
      <c r="Z80" s="45"/>
      <c r="AA80" s="45"/>
      <c r="AB80" s="45"/>
      <c r="AC80" s="45"/>
      <c r="AD80" s="48"/>
      <c r="AE80" s="48"/>
      <c r="AF80" s="45"/>
      <c r="AG80" s="44">
        <f t="shared" si="78"/>
        <v>1919.3000000000002</v>
      </c>
      <c r="AH80" s="44">
        <f t="shared" si="78"/>
        <v>338.70000000000005</v>
      </c>
      <c r="AI80" s="44">
        <f t="shared" si="78"/>
        <v>564.5</v>
      </c>
      <c r="AJ80" s="45">
        <f t="shared" si="78"/>
        <v>0</v>
      </c>
      <c r="AK80" s="44">
        <f t="shared" si="78"/>
        <v>30197.839285714283</v>
      </c>
      <c r="AL80" s="44">
        <f t="shared" si="78"/>
        <v>29908.069285714279</v>
      </c>
      <c r="AM80" s="44">
        <f t="shared" si="78"/>
        <v>3588.9683142857139</v>
      </c>
      <c r="AN80" s="44">
        <f t="shared" si="76"/>
        <v>33497.037599999996</v>
      </c>
      <c r="AO80" s="49">
        <f t="shared" si="78"/>
        <v>125</v>
      </c>
      <c r="AP80" s="49">
        <f t="shared" si="78"/>
        <v>0</v>
      </c>
      <c r="AQ80" s="49">
        <f t="shared" si="78"/>
        <v>0</v>
      </c>
      <c r="AR80" s="49">
        <f t="shared" si="78"/>
        <v>0</v>
      </c>
      <c r="AS80" s="49">
        <f t="shared" si="78"/>
        <v>0</v>
      </c>
      <c r="AT80" s="49">
        <f t="shared" si="78"/>
        <v>0</v>
      </c>
      <c r="AU80" s="49">
        <f>SUBTOTAL(9,AU78:AU79)</f>
        <v>0</v>
      </c>
      <c r="AV80" s="49">
        <f t="shared" si="78"/>
        <v>0</v>
      </c>
      <c r="AW80" s="49">
        <f t="shared" si="78"/>
        <v>0</v>
      </c>
      <c r="AX80" s="49">
        <f t="shared" si="78"/>
        <v>0</v>
      </c>
      <c r="AY80" s="49">
        <f t="shared" si="78"/>
        <v>0</v>
      </c>
      <c r="AZ80" s="44">
        <f t="shared" si="78"/>
        <v>125</v>
      </c>
      <c r="BA80" s="48">
        <f t="shared" si="78"/>
        <v>0</v>
      </c>
      <c r="BB80" s="48">
        <f t="shared" si="78"/>
        <v>0</v>
      </c>
      <c r="BC80" s="44">
        <f t="shared" si="78"/>
        <v>0</v>
      </c>
      <c r="BD80" s="44">
        <f t="shared" si="78"/>
        <v>0</v>
      </c>
      <c r="BE80" s="49">
        <f t="shared" si="78"/>
        <v>0</v>
      </c>
      <c r="BF80" s="49">
        <f>SUBTOTAL(9,BF78:BF79)</f>
        <v>0</v>
      </c>
      <c r="BG80" s="49">
        <f t="shared" si="78"/>
        <v>0</v>
      </c>
      <c r="BH80" s="49">
        <f t="shared" si="78"/>
        <v>0</v>
      </c>
      <c r="BI80" s="49">
        <f t="shared" si="78"/>
        <v>0</v>
      </c>
      <c r="BJ80" s="49">
        <f t="shared" si="78"/>
        <v>0</v>
      </c>
      <c r="BK80" s="49">
        <f t="shared" si="78"/>
        <v>0</v>
      </c>
      <c r="BL80" s="49">
        <f t="shared" si="78"/>
        <v>0</v>
      </c>
      <c r="BM80" s="49">
        <f t="shared" si="78"/>
        <v>0</v>
      </c>
      <c r="BN80" s="49">
        <f t="shared" si="78"/>
        <v>0</v>
      </c>
      <c r="BO80" s="49">
        <f t="shared" si="78"/>
        <v>0</v>
      </c>
      <c r="BP80" s="49">
        <f t="shared" si="78"/>
        <v>0</v>
      </c>
      <c r="BQ80" s="49">
        <f t="shared" si="78"/>
        <v>0</v>
      </c>
      <c r="BR80" s="44">
        <f>SUBTOTAL(9,BR78:BR79)</f>
        <v>125</v>
      </c>
    </row>
    <row r="81" spans="1:97">
      <c r="A81" s="199">
        <f>+A78+1</f>
        <v>43184</v>
      </c>
      <c r="B81" s="16" t="s">
        <v>43</v>
      </c>
      <c r="C81" s="33">
        <v>21146.98</v>
      </c>
      <c r="D81" s="34">
        <v>14191.75</v>
      </c>
      <c r="E81" s="34">
        <v>14192</v>
      </c>
      <c r="F81" s="171">
        <v>43215</v>
      </c>
      <c r="G81" s="33">
        <f>IF(E81-D81&lt;0,E81-D81,0)*-1</f>
        <v>0</v>
      </c>
      <c r="H81" s="33">
        <f>IF(E81-D81&gt;0,E81-D81,0)</f>
        <v>0.25</v>
      </c>
      <c r="I81" s="34"/>
      <c r="J81" s="34"/>
      <c r="K81" s="34">
        <v>6579.67</v>
      </c>
      <c r="L81" s="34"/>
      <c r="M81" s="36">
        <f>(+K81)*M$5</f>
        <v>141.46290499999998</v>
      </c>
      <c r="N81" s="36">
        <f>(+K81)*N$5</f>
        <v>32.898350000000001</v>
      </c>
      <c r="O81" s="36">
        <f>+K81-M81-N81+P81</f>
        <v>6405.3087449999994</v>
      </c>
      <c r="P81" s="36">
        <f>L81-(L81*(M$5+N$5))</f>
        <v>0</v>
      </c>
      <c r="Q81" s="117"/>
      <c r="R81" s="34"/>
      <c r="S81" s="34"/>
      <c r="T81" s="36"/>
      <c r="U81" s="36"/>
      <c r="V81" s="36"/>
      <c r="W81" s="36"/>
      <c r="X81" s="37"/>
      <c r="Y81" s="34"/>
      <c r="Z81" s="34"/>
      <c r="AA81" s="34"/>
      <c r="AB81" s="34"/>
      <c r="AC81" s="34">
        <v>318.81</v>
      </c>
      <c r="AD81" s="38"/>
      <c r="AE81" s="38"/>
      <c r="AF81" s="34">
        <v>1653.26</v>
      </c>
      <c r="AG81" s="33">
        <f>(AF81*0.8)*0.85</f>
        <v>1124.2168000000001</v>
      </c>
      <c r="AH81" s="33">
        <f>(AF81*0.8)*0.15</f>
        <v>198.39120000000003</v>
      </c>
      <c r="AI81" s="33">
        <f>AF81*0.2</f>
        <v>330.65200000000004</v>
      </c>
      <c r="AJ81" s="34"/>
      <c r="AK81" s="33">
        <f t="shared" ref="AK81:AK82" si="79">(C81-AF81-AJ81)/1.12</f>
        <v>17405.107142857141</v>
      </c>
      <c r="AL81" s="33">
        <f t="shared" ref="AL81:AL82" si="80">AK81-SUM(Y81:AC81)</f>
        <v>17086.29714285714</v>
      </c>
      <c r="AM81" s="33">
        <f t="shared" ref="AM81:AM82" si="81">+AL81*0.12</f>
        <v>2050.3556571428567</v>
      </c>
      <c r="AN81" s="33">
        <f t="shared" ref="AN81:AN82" si="82">+AM81+AL81+AJ81</f>
        <v>19136.652799999996</v>
      </c>
      <c r="AO81" s="39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33">
        <f>SUM(AO81:AY81)</f>
        <v>0</v>
      </c>
      <c r="BA81" s="38"/>
      <c r="BB81" s="38"/>
      <c r="BC81" s="33">
        <f>SUM(BE81:BM81)*0.1+(BN81*0.5)</f>
        <v>0</v>
      </c>
      <c r="BD81" s="33">
        <f>SUM(BE81:BM81)+(BN81*0.5)</f>
        <v>0</v>
      </c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41">
        <f>AZ81+BA81+BB81+BD81-BC81</f>
        <v>0</v>
      </c>
      <c r="BT81" s="146"/>
      <c r="BU81" s="145"/>
      <c r="BV81" s="145"/>
      <c r="BW81" s="145"/>
      <c r="BX81" s="145"/>
      <c r="BY81" s="145"/>
      <c r="BZ81" s="145"/>
      <c r="CA81" s="145"/>
      <c r="CB81" s="145"/>
      <c r="CC81" s="145"/>
      <c r="CD81" s="145"/>
      <c r="CE81" s="145"/>
      <c r="CF81" s="145"/>
      <c r="CG81" s="145"/>
      <c r="CH81" s="145"/>
      <c r="CI81" s="145"/>
      <c r="CJ81" s="145"/>
      <c r="CK81" s="145"/>
      <c r="CL81" s="145"/>
      <c r="CM81" s="145"/>
      <c r="CN81" s="145"/>
      <c r="CO81" s="145"/>
      <c r="CP81" s="145"/>
      <c r="CQ81" s="145"/>
      <c r="CR81" s="145"/>
      <c r="CS81" s="145"/>
    </row>
    <row r="82" spans="1:97" ht="15.75" thickBot="1">
      <c r="A82" s="200"/>
      <c r="B82" s="16" t="s">
        <v>44</v>
      </c>
      <c r="C82" s="33">
        <v>12675.37</v>
      </c>
      <c r="D82" s="34">
        <v>10800.05</v>
      </c>
      <c r="E82" s="34">
        <v>10801</v>
      </c>
      <c r="F82" s="171">
        <v>43216</v>
      </c>
      <c r="G82" s="33">
        <f>IF(E82-D82&lt;0,E82-D82,0)*-1</f>
        <v>0</v>
      </c>
      <c r="H82" s="33">
        <f>IF(E82-D82&gt;0,E82-D82,0)</f>
        <v>0.9500000000007276</v>
      </c>
      <c r="I82" s="34"/>
      <c r="J82" s="34"/>
      <c r="K82" s="34">
        <v>1739.82</v>
      </c>
      <c r="L82" s="34"/>
      <c r="M82" s="36">
        <f>(+K82)*M$5</f>
        <v>37.406129999999997</v>
      </c>
      <c r="N82" s="36">
        <f>(+K82)*N$5</f>
        <v>8.6990999999999996</v>
      </c>
      <c r="O82" s="36">
        <f>+K82-M82-N82+P82</f>
        <v>1693.7147699999998</v>
      </c>
      <c r="P82" s="36">
        <f>L82-(L82*(M$5+N$5))</f>
        <v>0</v>
      </c>
      <c r="Q82" s="37"/>
      <c r="R82" s="34"/>
      <c r="S82" s="34"/>
      <c r="T82" s="36"/>
      <c r="U82" s="36"/>
      <c r="V82" s="36"/>
      <c r="W82" s="36"/>
      <c r="X82" s="37"/>
      <c r="Y82" s="34"/>
      <c r="Z82" s="34">
        <f>18.5+37.5+79.5</f>
        <v>135.5</v>
      </c>
      <c r="AA82" s="34"/>
      <c r="AB82" s="34"/>
      <c r="AC82" s="34"/>
      <c r="AD82" s="38"/>
      <c r="AE82" s="38"/>
      <c r="AF82" s="34">
        <v>941.37</v>
      </c>
      <c r="AG82" s="33">
        <f>(AF82*0.8)*0.85</f>
        <v>640.13159999999993</v>
      </c>
      <c r="AH82" s="33">
        <f>(AF82*0.8)*0.15</f>
        <v>112.9644</v>
      </c>
      <c r="AI82" s="33">
        <f>AF82*0.2</f>
        <v>188.274</v>
      </c>
      <c r="AJ82" s="34"/>
      <c r="AK82" s="33">
        <f t="shared" si="79"/>
        <v>10476.785714285714</v>
      </c>
      <c r="AL82" s="33">
        <f t="shared" si="80"/>
        <v>10341.285714285714</v>
      </c>
      <c r="AM82" s="33">
        <f t="shared" si="81"/>
        <v>1240.9542857142856</v>
      </c>
      <c r="AN82" s="33">
        <f t="shared" si="82"/>
        <v>11582.24</v>
      </c>
      <c r="AO82" s="39">
        <v>65</v>
      </c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33">
        <f>SUM(AO82:AY82)</f>
        <v>65</v>
      </c>
      <c r="BA82" s="38"/>
      <c r="BB82" s="38"/>
      <c r="BC82" s="33">
        <v>0</v>
      </c>
      <c r="BD82" s="33">
        <v>0</v>
      </c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41">
        <f>AZ82+BA82+BB82+BD82-BC82</f>
        <v>65</v>
      </c>
      <c r="BT82" s="146"/>
      <c r="BU82" s="145"/>
      <c r="BV82" s="145"/>
      <c r="BW82" s="145"/>
      <c r="BX82" s="145"/>
      <c r="BY82" s="145"/>
      <c r="BZ82" s="145"/>
      <c r="CA82" s="145"/>
      <c r="CB82" s="145"/>
      <c r="CC82" s="145"/>
      <c r="CD82" s="145"/>
      <c r="CE82" s="145"/>
      <c r="CF82" s="145"/>
      <c r="CG82" s="145"/>
      <c r="CH82" s="145"/>
      <c r="CI82" s="145"/>
      <c r="CJ82" s="145"/>
      <c r="CK82" s="145"/>
      <c r="CL82" s="145"/>
      <c r="CM82" s="145"/>
      <c r="CN82" s="145"/>
      <c r="CO82" s="145"/>
      <c r="CP82" s="145"/>
      <c r="CQ82" s="145"/>
      <c r="CR82" s="145"/>
      <c r="CS82" s="145"/>
    </row>
    <row r="83" spans="1:97" ht="15.75" thickBot="1">
      <c r="A83" s="42"/>
      <c r="B83" s="43"/>
      <c r="C83" s="44">
        <f>SUBTOTAL(9,C81:C82)</f>
        <v>33822.35</v>
      </c>
      <c r="D83" s="45">
        <f>SUBTOTAL(9,D81:D82)</f>
        <v>24991.8</v>
      </c>
      <c r="E83" s="45">
        <f>SUBTOTAL(9,E81:E82)</f>
        <v>24993</v>
      </c>
      <c r="F83" s="172"/>
      <c r="G83" s="45">
        <f t="shared" ref="G83:P83" si="83">SUBTOTAL(9,G81:G82)</f>
        <v>0</v>
      </c>
      <c r="H83" s="45">
        <f t="shared" si="83"/>
        <v>1.2000000000007276</v>
      </c>
      <c r="I83" s="45">
        <f t="shared" si="83"/>
        <v>0</v>
      </c>
      <c r="J83" s="45">
        <f t="shared" si="83"/>
        <v>0</v>
      </c>
      <c r="K83" s="45"/>
      <c r="L83" s="45">
        <f t="shared" si="83"/>
        <v>0</v>
      </c>
      <c r="M83" s="46">
        <f t="shared" si="83"/>
        <v>178.86903499999997</v>
      </c>
      <c r="N83" s="46">
        <f t="shared" si="83"/>
        <v>41.597450000000002</v>
      </c>
      <c r="O83" s="46">
        <f t="shared" si="83"/>
        <v>8099.023514999999</v>
      </c>
      <c r="P83" s="46">
        <f t="shared" si="83"/>
        <v>0</v>
      </c>
      <c r="Q83" s="47"/>
      <c r="R83" s="45">
        <f t="shared" ref="R83:BQ83" si="84">SUBTOTAL(9,R81:R82)</f>
        <v>0</v>
      </c>
      <c r="S83" s="45">
        <f t="shared" si="84"/>
        <v>0</v>
      </c>
      <c r="T83" s="46">
        <f t="shared" si="84"/>
        <v>0</v>
      </c>
      <c r="U83" s="46">
        <f t="shared" si="84"/>
        <v>0</v>
      </c>
      <c r="V83" s="46">
        <f t="shared" si="84"/>
        <v>0</v>
      </c>
      <c r="W83" s="46">
        <f t="shared" si="84"/>
        <v>0</v>
      </c>
      <c r="X83" s="47"/>
      <c r="Y83" s="45">
        <f>SUBTOTAL(9,Y81:Y82)</f>
        <v>0</v>
      </c>
      <c r="Z83" s="45"/>
      <c r="AA83" s="45"/>
      <c r="AB83" s="45"/>
      <c r="AC83" s="45"/>
      <c r="AD83" s="48"/>
      <c r="AE83" s="48"/>
      <c r="AF83" s="45"/>
      <c r="AG83" s="44">
        <f t="shared" si="84"/>
        <v>1764.3484000000001</v>
      </c>
      <c r="AH83" s="44">
        <f t="shared" si="84"/>
        <v>311.35560000000004</v>
      </c>
      <c r="AI83" s="44">
        <f t="shared" si="84"/>
        <v>518.92600000000004</v>
      </c>
      <c r="AJ83" s="45">
        <f t="shared" si="84"/>
        <v>0</v>
      </c>
      <c r="AK83" s="44">
        <f t="shared" si="84"/>
        <v>27881.892857142855</v>
      </c>
      <c r="AL83" s="44">
        <f t="shared" si="84"/>
        <v>27427.582857142854</v>
      </c>
      <c r="AM83" s="44">
        <f t="shared" si="84"/>
        <v>3291.3099428571422</v>
      </c>
      <c r="AN83" s="44">
        <f t="shared" si="76"/>
        <v>30718.892799999994</v>
      </c>
      <c r="AO83" s="49">
        <f t="shared" si="84"/>
        <v>65</v>
      </c>
      <c r="AP83" s="49">
        <f t="shared" si="84"/>
        <v>0</v>
      </c>
      <c r="AQ83" s="49">
        <f t="shared" si="84"/>
        <v>0</v>
      </c>
      <c r="AR83" s="49">
        <f t="shared" si="84"/>
        <v>0</v>
      </c>
      <c r="AS83" s="49">
        <f t="shared" si="84"/>
        <v>0</v>
      </c>
      <c r="AT83" s="49">
        <f t="shared" si="84"/>
        <v>0</v>
      </c>
      <c r="AU83" s="49">
        <f>SUBTOTAL(9,AU81:AU82)</f>
        <v>0</v>
      </c>
      <c r="AV83" s="49">
        <f t="shared" si="84"/>
        <v>0</v>
      </c>
      <c r="AW83" s="49">
        <f t="shared" si="84"/>
        <v>0</v>
      </c>
      <c r="AX83" s="49">
        <f t="shared" si="84"/>
        <v>0</v>
      </c>
      <c r="AY83" s="49">
        <f t="shared" si="84"/>
        <v>0</v>
      </c>
      <c r="AZ83" s="44">
        <f t="shared" si="84"/>
        <v>65</v>
      </c>
      <c r="BA83" s="48" t="s">
        <v>1</v>
      </c>
      <c r="BB83" s="48">
        <f t="shared" si="84"/>
        <v>0</v>
      </c>
      <c r="BC83" s="44">
        <f t="shared" si="84"/>
        <v>0</v>
      </c>
      <c r="BD83" s="44">
        <f t="shared" si="84"/>
        <v>0</v>
      </c>
      <c r="BE83" s="49">
        <f t="shared" si="84"/>
        <v>0</v>
      </c>
      <c r="BF83" s="49">
        <f>SUBTOTAL(9,BF81:BF82)</f>
        <v>0</v>
      </c>
      <c r="BG83" s="49"/>
      <c r="BH83" s="49">
        <f t="shared" si="84"/>
        <v>0</v>
      </c>
      <c r="BI83" s="49">
        <f t="shared" si="84"/>
        <v>0</v>
      </c>
      <c r="BJ83" s="49">
        <f t="shared" si="84"/>
        <v>0</v>
      </c>
      <c r="BK83" s="49">
        <f t="shared" si="84"/>
        <v>0</v>
      </c>
      <c r="BL83" s="49">
        <f t="shared" si="84"/>
        <v>0</v>
      </c>
      <c r="BM83" s="49">
        <f t="shared" si="84"/>
        <v>0</v>
      </c>
      <c r="BN83" s="49">
        <f t="shared" si="84"/>
        <v>0</v>
      </c>
      <c r="BO83" s="49">
        <f t="shared" si="84"/>
        <v>0</v>
      </c>
      <c r="BP83" s="49">
        <f t="shared" si="84"/>
        <v>0</v>
      </c>
      <c r="BQ83" s="49">
        <f t="shared" si="84"/>
        <v>0</v>
      </c>
      <c r="BR83" s="44">
        <f>SUBTOTAL(9,BR81:BR82)</f>
        <v>65</v>
      </c>
    </row>
    <row r="84" spans="1:97">
      <c r="A84" s="199">
        <f>+A81+1</f>
        <v>43185</v>
      </c>
      <c r="B84" s="32" t="s">
        <v>43</v>
      </c>
      <c r="C84" s="33">
        <v>11036.87</v>
      </c>
      <c r="D84" s="34">
        <v>9466.09</v>
      </c>
      <c r="E84" s="34">
        <v>9470</v>
      </c>
      <c r="F84" s="171">
        <v>43216</v>
      </c>
      <c r="G84" s="33">
        <f>IF(E84-D84&lt;0,E84-D84,0)*-1</f>
        <v>0</v>
      </c>
      <c r="H84" s="33">
        <f>IF(E84-D84&gt;0,E84-D84,0)</f>
        <v>3.9099999999998545</v>
      </c>
      <c r="I84" s="34"/>
      <c r="J84" s="34"/>
      <c r="K84" s="34">
        <v>1263.58</v>
      </c>
      <c r="L84" s="34"/>
      <c r="M84" s="36">
        <f>(+K84)*M$5</f>
        <v>27.166969999999996</v>
      </c>
      <c r="N84" s="36">
        <f>(+K84)*N$5</f>
        <v>6.3178999999999998</v>
      </c>
      <c r="O84" s="36">
        <f>+K84-M84-N84+P84</f>
        <v>1230.0951299999999</v>
      </c>
      <c r="P84" s="36"/>
      <c r="Q84" s="37"/>
      <c r="R84" s="34"/>
      <c r="S84" s="34"/>
      <c r="T84" s="36"/>
      <c r="U84" s="36"/>
      <c r="V84" s="36"/>
      <c r="W84" s="36"/>
      <c r="X84" s="37"/>
      <c r="Y84" s="34"/>
      <c r="Z84" s="34">
        <v>76.25</v>
      </c>
      <c r="AA84" s="34"/>
      <c r="AB84" s="34"/>
      <c r="AC84" s="34">
        <v>230.95</v>
      </c>
      <c r="AD84" s="38"/>
      <c r="AE84" s="38"/>
      <c r="AF84" s="34">
        <v>727.44</v>
      </c>
      <c r="AG84" s="33">
        <f>(AF84*0.8)*0.85</f>
        <v>494.65920000000006</v>
      </c>
      <c r="AH84" s="33">
        <f>(AF84*0.8)*0.15</f>
        <v>87.292800000000014</v>
      </c>
      <c r="AI84" s="33">
        <f>AF84*0.2</f>
        <v>145.48800000000003</v>
      </c>
      <c r="AJ84" s="34"/>
      <c r="AK84" s="33">
        <f>(C84-AF84-AJ84)/1.12</f>
        <v>9204.8482142857138</v>
      </c>
      <c r="AL84" s="33">
        <f>AK84-SUM(Y84:AC84)</f>
        <v>8897.648214285713</v>
      </c>
      <c r="AM84" s="33">
        <f>+AL84*0.12</f>
        <v>1067.7177857142856</v>
      </c>
      <c r="AN84" s="33">
        <f>+AM84+AL84+AJ84</f>
        <v>9965.3659999999982</v>
      </c>
      <c r="AO84" s="39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33">
        <f>SUM(AO84:AY84)</f>
        <v>0</v>
      </c>
      <c r="BA84" s="38"/>
      <c r="BB84" s="38"/>
      <c r="BC84" s="33">
        <f>SUM(BE84:BM84)*0.1+(BN84*0.5)</f>
        <v>0</v>
      </c>
      <c r="BD84" s="33">
        <f>SUM(BE84:BM84)+(BN84*0.5)</f>
        <v>0</v>
      </c>
      <c r="BE84" s="39"/>
      <c r="BF84" s="39">
        <v>0</v>
      </c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41">
        <f>AZ84+BA84+BB84+BD84-BC84</f>
        <v>0</v>
      </c>
      <c r="BT84" s="146"/>
      <c r="BU84" s="145"/>
      <c r="BV84" s="145"/>
      <c r="BW84" s="145"/>
      <c r="BX84" s="145"/>
      <c r="BY84" s="145"/>
      <c r="BZ84" s="145"/>
      <c r="CA84" s="145"/>
      <c r="CB84" s="145"/>
      <c r="CC84" s="145"/>
      <c r="CD84" s="145"/>
      <c r="CE84" s="145"/>
      <c r="CF84" s="145"/>
      <c r="CG84" s="145"/>
      <c r="CH84" s="145"/>
      <c r="CI84" s="145"/>
      <c r="CJ84" s="145"/>
      <c r="CK84" s="145"/>
      <c r="CL84" s="145"/>
      <c r="CM84" s="145"/>
      <c r="CN84" s="145"/>
      <c r="CO84" s="145"/>
      <c r="CP84" s="145"/>
      <c r="CQ84" s="145"/>
      <c r="CR84" s="145"/>
      <c r="CS84" s="145"/>
    </row>
    <row r="85" spans="1:97" ht="15.75" thickBot="1">
      <c r="A85" s="200"/>
      <c r="B85" s="15" t="s">
        <v>44</v>
      </c>
      <c r="C85" s="33">
        <v>22696.12</v>
      </c>
      <c r="D85" s="34">
        <v>11994.34</v>
      </c>
      <c r="E85" s="34">
        <v>11995</v>
      </c>
      <c r="F85" s="171">
        <v>43217</v>
      </c>
      <c r="G85" s="33">
        <f>IF(E85-D85&lt;0,E85-D85,0)*-1</f>
        <v>0</v>
      </c>
      <c r="H85" s="33">
        <f>IF(E85-D85&gt;0,E85-D85,0)</f>
        <v>0.65999999999985448</v>
      </c>
      <c r="I85" s="34"/>
      <c r="J85" s="34"/>
      <c r="K85" s="34">
        <v>10313.81</v>
      </c>
      <c r="L85" s="34"/>
      <c r="M85" s="36">
        <f>(+K85)*M$5</f>
        <v>221.74691499999997</v>
      </c>
      <c r="N85" s="36">
        <f>(+K85)*N$5</f>
        <v>51.569049999999997</v>
      </c>
      <c r="O85" s="36">
        <f>+K85-M85-N85+P85</f>
        <v>10040.494035</v>
      </c>
      <c r="P85" s="36"/>
      <c r="Q85" s="37"/>
      <c r="R85" s="34"/>
      <c r="S85" s="34"/>
      <c r="T85" s="36"/>
      <c r="U85" s="36"/>
      <c r="V85" s="36"/>
      <c r="W85" s="36"/>
      <c r="X85" s="37"/>
      <c r="Y85" s="34"/>
      <c r="Z85" s="34">
        <v>80</v>
      </c>
      <c r="AA85" s="34"/>
      <c r="AB85" s="34"/>
      <c r="AC85" s="34">
        <v>307.97000000000003</v>
      </c>
      <c r="AD85" s="38"/>
      <c r="AE85" s="38"/>
      <c r="AF85" s="34">
        <v>1577.89</v>
      </c>
      <c r="AG85" s="33">
        <f>(AF85*0.8)*0.85</f>
        <v>1072.9652000000001</v>
      </c>
      <c r="AH85" s="33">
        <f>(AF85*0.8)*0.15</f>
        <v>189.3468</v>
      </c>
      <c r="AI85" s="33">
        <f>AF85*0.2</f>
        <v>315.57800000000003</v>
      </c>
      <c r="AJ85" s="34"/>
      <c r="AK85" s="33">
        <f>(C85-AF85-AJ85)/1.12</f>
        <v>18855.562499999996</v>
      </c>
      <c r="AL85" s="33">
        <f>AK85-SUM(Y85:AC85)</f>
        <v>18467.592499999995</v>
      </c>
      <c r="AM85" s="33">
        <f>+AL85*0.12</f>
        <v>2216.1110999999992</v>
      </c>
      <c r="AN85" s="33">
        <f>+AM85+AL85+AJ85</f>
        <v>20683.703599999993</v>
      </c>
      <c r="AO85" s="39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33">
        <f>SUM(AO85:AY85)</f>
        <v>0</v>
      </c>
      <c r="BA85" s="38">
        <v>315</v>
      </c>
      <c r="BB85" s="38"/>
      <c r="BC85" s="33"/>
      <c r="BD85" s="33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41">
        <f>AZ85+BA85+BB85+BD85-BC85</f>
        <v>315</v>
      </c>
      <c r="BT85" s="146"/>
      <c r="BU85" s="145"/>
      <c r="BV85" s="145"/>
      <c r="BW85" s="145"/>
      <c r="BX85" s="145"/>
      <c r="BY85" s="145"/>
      <c r="BZ85" s="145"/>
      <c r="CA85" s="145"/>
      <c r="CB85" s="145"/>
      <c r="CC85" s="145"/>
      <c r="CD85" s="145"/>
      <c r="CE85" s="145"/>
      <c r="CF85" s="145"/>
      <c r="CG85" s="145"/>
      <c r="CH85" s="145"/>
      <c r="CI85" s="145"/>
      <c r="CJ85" s="145"/>
      <c r="CK85" s="145"/>
      <c r="CL85" s="145"/>
      <c r="CM85" s="145"/>
      <c r="CN85" s="145"/>
      <c r="CO85" s="145"/>
      <c r="CP85" s="145"/>
      <c r="CQ85" s="145"/>
      <c r="CR85" s="145"/>
      <c r="CS85" s="145"/>
    </row>
    <row r="86" spans="1:97" ht="15.75" thickBot="1">
      <c r="A86" s="42"/>
      <c r="B86" s="43"/>
      <c r="C86" s="44">
        <f>SUBTOTAL(9,C84:C85)</f>
        <v>33732.99</v>
      </c>
      <c r="D86" s="45">
        <f>SUBTOTAL(9,D84:D85)</f>
        <v>21460.43</v>
      </c>
      <c r="E86" s="45">
        <f>SUBTOTAL(9,E84:E85)</f>
        <v>21465</v>
      </c>
      <c r="F86" s="172"/>
      <c r="G86" s="45">
        <f t="shared" ref="G86:P86" si="85">SUBTOTAL(9,G84:G85)</f>
        <v>0</v>
      </c>
      <c r="H86" s="45">
        <f t="shared" si="85"/>
        <v>4.569999999999709</v>
      </c>
      <c r="I86" s="45">
        <f t="shared" si="85"/>
        <v>0</v>
      </c>
      <c r="J86" s="45">
        <f t="shared" si="85"/>
        <v>0</v>
      </c>
      <c r="K86" s="45"/>
      <c r="L86" s="45">
        <f t="shared" si="85"/>
        <v>0</v>
      </c>
      <c r="M86" s="46">
        <f t="shared" si="85"/>
        <v>248.91388499999996</v>
      </c>
      <c r="N86" s="46">
        <f t="shared" si="85"/>
        <v>57.886949999999999</v>
      </c>
      <c r="O86" s="46">
        <f t="shared" si="85"/>
        <v>11270.589164999999</v>
      </c>
      <c r="P86" s="46">
        <f t="shared" si="85"/>
        <v>0</v>
      </c>
      <c r="Q86" s="47"/>
      <c r="R86" s="45">
        <f t="shared" ref="R86:BQ86" si="86">SUBTOTAL(9,R84:R85)</f>
        <v>0</v>
      </c>
      <c r="S86" s="45">
        <f t="shared" si="86"/>
        <v>0</v>
      </c>
      <c r="T86" s="46">
        <f t="shared" si="86"/>
        <v>0</v>
      </c>
      <c r="U86" s="46">
        <f t="shared" si="86"/>
        <v>0</v>
      </c>
      <c r="V86" s="46">
        <f t="shared" si="86"/>
        <v>0</v>
      </c>
      <c r="W86" s="46">
        <f t="shared" si="86"/>
        <v>0</v>
      </c>
      <c r="X86" s="47"/>
      <c r="Y86" s="45">
        <f>SUBTOTAL(9,Y84:Y85)</f>
        <v>0</v>
      </c>
      <c r="Z86" s="45"/>
      <c r="AA86" s="45"/>
      <c r="AB86" s="45"/>
      <c r="AC86" s="45"/>
      <c r="AD86" s="48"/>
      <c r="AE86" s="48"/>
      <c r="AF86" s="45"/>
      <c r="AG86" s="44">
        <f t="shared" si="86"/>
        <v>1567.6244000000002</v>
      </c>
      <c r="AH86" s="44">
        <f t="shared" si="86"/>
        <v>276.63960000000003</v>
      </c>
      <c r="AI86" s="44">
        <f t="shared" si="86"/>
        <v>461.06600000000003</v>
      </c>
      <c r="AJ86" s="45">
        <f t="shared" si="86"/>
        <v>0</v>
      </c>
      <c r="AK86" s="44">
        <f t="shared" si="86"/>
        <v>28060.41071428571</v>
      </c>
      <c r="AL86" s="44">
        <f t="shared" si="86"/>
        <v>27365.240714285708</v>
      </c>
      <c r="AM86" s="44">
        <f t="shared" si="86"/>
        <v>3283.8288857142848</v>
      </c>
      <c r="AN86" s="44">
        <f t="shared" si="76"/>
        <v>30649.069599999992</v>
      </c>
      <c r="AO86" s="49">
        <f t="shared" si="86"/>
        <v>0</v>
      </c>
      <c r="AP86" s="49">
        <f t="shared" si="86"/>
        <v>0</v>
      </c>
      <c r="AQ86" s="49">
        <f t="shared" si="86"/>
        <v>0</v>
      </c>
      <c r="AR86" s="49">
        <f t="shared" si="86"/>
        <v>0</v>
      </c>
      <c r="AS86" s="49">
        <f t="shared" si="86"/>
        <v>0</v>
      </c>
      <c r="AT86" s="49">
        <f t="shared" si="86"/>
        <v>0</v>
      </c>
      <c r="AU86" s="49">
        <f>SUBTOTAL(9,AU84:AU85)</f>
        <v>0</v>
      </c>
      <c r="AV86" s="49">
        <f t="shared" si="86"/>
        <v>0</v>
      </c>
      <c r="AW86" s="49">
        <f t="shared" si="86"/>
        <v>0</v>
      </c>
      <c r="AX86" s="49">
        <f t="shared" si="86"/>
        <v>0</v>
      </c>
      <c r="AY86" s="49">
        <f t="shared" si="86"/>
        <v>0</v>
      </c>
      <c r="AZ86" s="44">
        <f t="shared" si="86"/>
        <v>0</v>
      </c>
      <c r="BA86" s="48">
        <f t="shared" si="86"/>
        <v>315</v>
      </c>
      <c r="BB86" s="48">
        <f t="shared" si="86"/>
        <v>0</v>
      </c>
      <c r="BC86" s="44">
        <f t="shared" si="86"/>
        <v>0</v>
      </c>
      <c r="BD86" s="44">
        <f t="shared" si="86"/>
        <v>0</v>
      </c>
      <c r="BE86" s="49">
        <f t="shared" si="86"/>
        <v>0</v>
      </c>
      <c r="BF86" s="49">
        <f>SUBTOTAL(9,BF84:BF85)</f>
        <v>0</v>
      </c>
      <c r="BG86" s="49">
        <f t="shared" si="86"/>
        <v>0</v>
      </c>
      <c r="BH86" s="49">
        <f t="shared" si="86"/>
        <v>0</v>
      </c>
      <c r="BI86" s="49">
        <f t="shared" si="86"/>
        <v>0</v>
      </c>
      <c r="BJ86" s="49">
        <f t="shared" si="86"/>
        <v>0</v>
      </c>
      <c r="BK86" s="49">
        <f t="shared" si="86"/>
        <v>0</v>
      </c>
      <c r="BL86" s="49">
        <f t="shared" si="86"/>
        <v>0</v>
      </c>
      <c r="BM86" s="49">
        <f t="shared" si="86"/>
        <v>0</v>
      </c>
      <c r="BN86" s="49">
        <f t="shared" si="86"/>
        <v>0</v>
      </c>
      <c r="BO86" s="49">
        <f t="shared" si="86"/>
        <v>0</v>
      </c>
      <c r="BP86" s="49">
        <f t="shared" si="86"/>
        <v>0</v>
      </c>
      <c r="BQ86" s="49">
        <f t="shared" si="86"/>
        <v>0</v>
      </c>
      <c r="BR86" s="44">
        <f>SUBTOTAL(9,BR84:BR85)</f>
        <v>315</v>
      </c>
    </row>
    <row r="87" spans="1:97">
      <c r="A87" s="199">
        <f>+A84+1</f>
        <v>43186</v>
      </c>
      <c r="B87" s="15" t="s">
        <v>43</v>
      </c>
      <c r="C87" s="33">
        <v>31053.9</v>
      </c>
      <c r="D87" s="34">
        <v>21206.34</v>
      </c>
      <c r="E87" s="34">
        <v>21206</v>
      </c>
      <c r="F87" s="171">
        <v>43217</v>
      </c>
      <c r="G87" s="33">
        <f>IF(E87-D87&lt;0,E87-D87,0)*-1</f>
        <v>0.34000000000014552</v>
      </c>
      <c r="H87" s="33">
        <f>IF(E87-D87&gt;0,E87-D87,0)</f>
        <v>0</v>
      </c>
      <c r="I87" s="34"/>
      <c r="J87" s="34"/>
      <c r="K87" s="34">
        <v>9430.5</v>
      </c>
      <c r="L87" s="34"/>
      <c r="M87" s="36">
        <f>(+K87)*M$5</f>
        <v>202.75574999999998</v>
      </c>
      <c r="N87" s="36">
        <f>(+K87)*N$5</f>
        <v>47.152500000000003</v>
      </c>
      <c r="O87" s="36">
        <f>+K87-M87-N87+P87</f>
        <v>9180.5917499999996</v>
      </c>
      <c r="P87" s="36"/>
      <c r="Q87" s="37"/>
      <c r="R87" s="34"/>
      <c r="S87" s="34"/>
      <c r="T87" s="36"/>
      <c r="U87" s="36"/>
      <c r="V87" s="36"/>
      <c r="W87" s="36"/>
      <c r="X87" s="37"/>
      <c r="Y87" s="34"/>
      <c r="Z87" s="34">
        <f>79.5+117.25</f>
        <v>196.75</v>
      </c>
      <c r="AA87" s="34"/>
      <c r="AB87" s="34"/>
      <c r="AC87" s="34">
        <v>220.31</v>
      </c>
      <c r="AD87" s="38"/>
      <c r="AE87" s="38"/>
      <c r="AF87" s="34">
        <v>2418.09</v>
      </c>
      <c r="AG87" s="33">
        <f>(AF87*0.8)*0.85</f>
        <v>1644.3012000000001</v>
      </c>
      <c r="AH87" s="33">
        <f>(AF87*0.8)*0.15</f>
        <v>290.17080000000004</v>
      </c>
      <c r="AI87" s="33">
        <f>AF87*0.2</f>
        <v>483.61800000000005</v>
      </c>
      <c r="AJ87" s="34"/>
      <c r="AK87" s="33">
        <f t="shared" ref="AK87:AK88" si="87">(C87-AF87-AJ87)/1.12</f>
        <v>25567.6875</v>
      </c>
      <c r="AL87" s="33">
        <f t="shared" ref="AL87:AL88" si="88">AK87-SUM(Y87:AC87)</f>
        <v>25150.627499999999</v>
      </c>
      <c r="AM87" s="33">
        <f t="shared" ref="AM87:AM91" si="89">+AL87*0.12</f>
        <v>3018.0752999999995</v>
      </c>
      <c r="AN87" s="33">
        <f t="shared" ref="AN87:AN88" si="90">+AM87+AL87+AJ87</f>
        <v>28168.702799999999</v>
      </c>
      <c r="AO87" s="39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33">
        <f>SUM(AO87:AY87)</f>
        <v>0</v>
      </c>
      <c r="BA87" s="38"/>
      <c r="BB87" s="38"/>
      <c r="BC87" s="33">
        <f>SUM(BE87:BM87)*0.1+(BN87*0.5)</f>
        <v>0</v>
      </c>
      <c r="BD87" s="33">
        <f>SUM(BE87:BM87)+(BN87*0.5)</f>
        <v>0</v>
      </c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41">
        <f>AZ87+BA87+BB87+BD87-BC87</f>
        <v>0</v>
      </c>
      <c r="BT87" s="146"/>
      <c r="BU87" s="145"/>
      <c r="BV87" s="145"/>
      <c r="BW87" s="145"/>
      <c r="BX87" s="145"/>
      <c r="BY87" s="145"/>
      <c r="BZ87" s="145"/>
      <c r="CA87" s="145"/>
      <c r="CB87" s="145"/>
      <c r="CC87" s="145"/>
      <c r="CD87" s="145"/>
      <c r="CE87" s="145"/>
      <c r="CF87" s="145"/>
      <c r="CG87" s="145"/>
      <c r="CH87" s="145"/>
      <c r="CI87" s="145"/>
      <c r="CJ87" s="145"/>
      <c r="CK87" s="145"/>
      <c r="CL87" s="145"/>
      <c r="CM87" s="145"/>
      <c r="CN87" s="145"/>
      <c r="CO87" s="145"/>
      <c r="CP87" s="145"/>
      <c r="CQ87" s="145"/>
      <c r="CR87" s="145"/>
      <c r="CS87" s="145"/>
    </row>
    <row r="88" spans="1:97" ht="15.75" thickBot="1">
      <c r="A88" s="200"/>
      <c r="B88" s="15" t="s">
        <v>44</v>
      </c>
      <c r="C88" s="33">
        <v>20577.93</v>
      </c>
      <c r="D88" s="34">
        <v>18455.86</v>
      </c>
      <c r="E88" s="34">
        <v>18460</v>
      </c>
      <c r="F88" s="171">
        <v>43220</v>
      </c>
      <c r="G88" s="33">
        <f>IF(E88-D88&lt;0,E88-D88,0)*-1</f>
        <v>0</v>
      </c>
      <c r="H88" s="33">
        <f>IF(E88-D88&gt;0,E88-D88,0)</f>
        <v>4.1399999999994179</v>
      </c>
      <c r="I88" s="34"/>
      <c r="J88" s="34"/>
      <c r="K88" s="34">
        <v>1959.82</v>
      </c>
      <c r="L88" s="34"/>
      <c r="M88" s="36">
        <f>(+K88)*M$5</f>
        <v>42.136129999999994</v>
      </c>
      <c r="N88" s="36">
        <f>(+K88)*N$5</f>
        <v>9.7990999999999993</v>
      </c>
      <c r="O88" s="36">
        <f>+K88-M88-N88+P88</f>
        <v>1907.8847699999999</v>
      </c>
      <c r="P88" s="36"/>
      <c r="Q88" s="37"/>
      <c r="R88" s="34"/>
      <c r="S88" s="34"/>
      <c r="T88" s="36"/>
      <c r="U88" s="36"/>
      <c r="V88" s="36"/>
      <c r="W88" s="36"/>
      <c r="X88" s="37"/>
      <c r="Y88" s="34"/>
      <c r="Z88" s="34">
        <v>162.25</v>
      </c>
      <c r="AA88" s="34"/>
      <c r="AB88" s="34"/>
      <c r="AC88" s="34"/>
      <c r="AD88" s="38"/>
      <c r="AE88" s="38"/>
      <c r="AF88" s="34">
        <v>1527.93</v>
      </c>
      <c r="AG88" s="33">
        <f>(AF88*0.8)*0.85</f>
        <v>1038.9924000000001</v>
      </c>
      <c r="AH88" s="33">
        <f>(AF88*0.8)*0.15</f>
        <v>183.35159999999999</v>
      </c>
      <c r="AI88" s="33">
        <f>AF88*0.2</f>
        <v>305.58600000000001</v>
      </c>
      <c r="AJ88" s="34"/>
      <c r="AK88" s="33">
        <f t="shared" si="87"/>
        <v>17008.928571428569</v>
      </c>
      <c r="AL88" s="33">
        <f t="shared" si="88"/>
        <v>16846.678571428569</v>
      </c>
      <c r="AM88" s="33">
        <f t="shared" si="89"/>
        <v>2021.6014285714282</v>
      </c>
      <c r="AN88" s="33">
        <f t="shared" si="90"/>
        <v>18868.28</v>
      </c>
      <c r="AO88" s="39">
        <v>895</v>
      </c>
      <c r="AP88" s="40">
        <v>148</v>
      </c>
      <c r="AQ88" s="40">
        <v>265</v>
      </c>
      <c r="AR88" s="40">
        <f>185+235</f>
        <v>420</v>
      </c>
      <c r="AS88" s="40"/>
      <c r="AT88" s="40"/>
      <c r="AU88" s="40"/>
      <c r="AV88" s="40"/>
      <c r="AW88" s="40"/>
      <c r="AX88" s="40"/>
      <c r="AY88" s="40"/>
      <c r="AZ88" s="33">
        <f>SUM(AO88:AY88)</f>
        <v>1728</v>
      </c>
      <c r="BA88" s="38">
        <v>240</v>
      </c>
      <c r="BB88" s="38"/>
      <c r="BC88" s="33"/>
      <c r="BD88" s="33"/>
      <c r="BE88" s="39"/>
      <c r="BF88" s="39"/>
      <c r="BG88" s="39">
        <v>295</v>
      </c>
      <c r="BH88" s="39"/>
      <c r="BI88" s="39">
        <v>0</v>
      </c>
      <c r="BJ88" s="39"/>
      <c r="BK88" s="39"/>
      <c r="BL88" s="39"/>
      <c r="BM88" s="39"/>
      <c r="BN88" s="39"/>
      <c r="BO88" s="39"/>
      <c r="BP88" s="39"/>
      <c r="BQ88" s="39"/>
      <c r="BR88" s="41">
        <f>AZ88+BA88+BB88+BD88-BC88</f>
        <v>1968</v>
      </c>
      <c r="BT88" s="146"/>
      <c r="BU88" s="145"/>
      <c r="BV88" s="145"/>
      <c r="BW88" s="145"/>
      <c r="BX88" s="145"/>
      <c r="BY88" s="145"/>
      <c r="BZ88" s="145"/>
      <c r="CA88" s="145"/>
      <c r="CB88" s="145"/>
      <c r="CC88" s="145"/>
      <c r="CD88" s="145"/>
      <c r="CE88" s="145"/>
      <c r="CF88" s="145"/>
      <c r="CG88" s="145"/>
      <c r="CH88" s="145"/>
      <c r="CI88" s="145"/>
      <c r="CJ88" s="145"/>
      <c r="CK88" s="145"/>
      <c r="CL88" s="145"/>
      <c r="CM88" s="145"/>
      <c r="CN88" s="145"/>
      <c r="CO88" s="145"/>
      <c r="CP88" s="145"/>
      <c r="CQ88" s="145"/>
      <c r="CR88" s="145"/>
      <c r="CS88" s="145"/>
    </row>
    <row r="89" spans="1:97" ht="15.75" thickBot="1">
      <c r="A89" s="42"/>
      <c r="B89" s="43"/>
      <c r="C89" s="44">
        <f>SUBTOTAL(9,C87:C88)</f>
        <v>51631.83</v>
      </c>
      <c r="D89" s="45">
        <f>SUBTOTAL(9,D87:D88)</f>
        <v>39662.199999999997</v>
      </c>
      <c r="E89" s="45">
        <f>SUBTOTAL(9,E87:E88)</f>
        <v>39666</v>
      </c>
      <c r="F89" s="172"/>
      <c r="G89" s="45">
        <f t="shared" ref="G89:P89" si="91">SUBTOTAL(9,G87:G88)</f>
        <v>0.34000000000014552</v>
      </c>
      <c r="H89" s="45">
        <f t="shared" si="91"/>
        <v>4.1399999999994179</v>
      </c>
      <c r="I89" s="45">
        <f t="shared" si="91"/>
        <v>0</v>
      </c>
      <c r="J89" s="45">
        <f t="shared" si="91"/>
        <v>0</v>
      </c>
      <c r="K89" s="45"/>
      <c r="L89" s="45">
        <f t="shared" si="91"/>
        <v>0</v>
      </c>
      <c r="M89" s="46">
        <f t="shared" si="91"/>
        <v>244.89187999999996</v>
      </c>
      <c r="N89" s="46">
        <f t="shared" si="91"/>
        <v>56.951599999999999</v>
      </c>
      <c r="O89" s="46">
        <f t="shared" si="91"/>
        <v>11088.47652</v>
      </c>
      <c r="P89" s="46">
        <f t="shared" si="91"/>
        <v>0</v>
      </c>
      <c r="Q89" s="47"/>
      <c r="R89" s="45">
        <f t="shared" ref="R89:BQ89" si="92">SUBTOTAL(9,R87:R88)</f>
        <v>0</v>
      </c>
      <c r="S89" s="45">
        <f t="shared" si="92"/>
        <v>0</v>
      </c>
      <c r="T89" s="46">
        <f t="shared" si="92"/>
        <v>0</v>
      </c>
      <c r="U89" s="46">
        <f t="shared" si="92"/>
        <v>0</v>
      </c>
      <c r="V89" s="46">
        <f t="shared" si="92"/>
        <v>0</v>
      </c>
      <c r="W89" s="46">
        <f t="shared" si="92"/>
        <v>0</v>
      </c>
      <c r="X89" s="47"/>
      <c r="Y89" s="45">
        <f>SUBTOTAL(9,Y87:Y88)</f>
        <v>0</v>
      </c>
      <c r="Z89" s="45"/>
      <c r="AA89" s="45"/>
      <c r="AB89" s="45"/>
      <c r="AC89" s="45"/>
      <c r="AD89" s="48"/>
      <c r="AE89" s="48"/>
      <c r="AF89" s="45"/>
      <c r="AG89" s="44">
        <f t="shared" si="92"/>
        <v>2683.2936</v>
      </c>
      <c r="AH89" s="44">
        <f t="shared" si="92"/>
        <v>473.52240000000006</v>
      </c>
      <c r="AI89" s="44">
        <f t="shared" si="92"/>
        <v>789.20400000000006</v>
      </c>
      <c r="AJ89" s="45">
        <f t="shared" si="92"/>
        <v>0</v>
      </c>
      <c r="AK89" s="44">
        <f t="shared" si="92"/>
        <v>42576.616071428565</v>
      </c>
      <c r="AL89" s="44">
        <f t="shared" si="92"/>
        <v>41997.306071428568</v>
      </c>
      <c r="AM89" s="44">
        <f t="shared" si="92"/>
        <v>5039.6767285714277</v>
      </c>
      <c r="AN89" s="44">
        <f t="shared" si="76"/>
        <v>47036.982799999998</v>
      </c>
      <c r="AO89" s="49">
        <f t="shared" si="92"/>
        <v>895</v>
      </c>
      <c r="AP89" s="49">
        <f t="shared" si="92"/>
        <v>148</v>
      </c>
      <c r="AQ89" s="49">
        <f t="shared" si="92"/>
        <v>265</v>
      </c>
      <c r="AR89" s="49">
        <f t="shared" si="92"/>
        <v>420</v>
      </c>
      <c r="AS89" s="49">
        <f t="shared" si="92"/>
        <v>0</v>
      </c>
      <c r="AT89" s="49">
        <f t="shared" si="92"/>
        <v>0</v>
      </c>
      <c r="AU89" s="49">
        <f>SUBTOTAL(9,AU87:AU88)</f>
        <v>0</v>
      </c>
      <c r="AV89" s="49">
        <f t="shared" si="92"/>
        <v>0</v>
      </c>
      <c r="AW89" s="49">
        <f t="shared" si="92"/>
        <v>0</v>
      </c>
      <c r="AX89" s="49">
        <f t="shared" si="92"/>
        <v>0</v>
      </c>
      <c r="AY89" s="49">
        <f t="shared" si="92"/>
        <v>0</v>
      </c>
      <c r="AZ89" s="44">
        <f t="shared" si="92"/>
        <v>1728</v>
      </c>
      <c r="BA89" s="48">
        <f t="shared" si="92"/>
        <v>240</v>
      </c>
      <c r="BB89" s="48">
        <f t="shared" si="92"/>
        <v>0</v>
      </c>
      <c r="BC89" s="44">
        <f t="shared" si="92"/>
        <v>0</v>
      </c>
      <c r="BD89" s="44">
        <f t="shared" si="92"/>
        <v>0</v>
      </c>
      <c r="BE89" s="49">
        <f t="shared" si="92"/>
        <v>0</v>
      </c>
      <c r="BF89" s="49">
        <f>SUBTOTAL(9,BF87:BF88)</f>
        <v>0</v>
      </c>
      <c r="BG89" s="49">
        <f t="shared" si="92"/>
        <v>295</v>
      </c>
      <c r="BH89" s="49">
        <f t="shared" si="92"/>
        <v>0</v>
      </c>
      <c r="BI89" s="49">
        <f t="shared" si="92"/>
        <v>0</v>
      </c>
      <c r="BJ89" s="49">
        <f t="shared" si="92"/>
        <v>0</v>
      </c>
      <c r="BK89" s="49">
        <f t="shared" si="92"/>
        <v>0</v>
      </c>
      <c r="BL89" s="49">
        <f t="shared" si="92"/>
        <v>0</v>
      </c>
      <c r="BM89" s="49">
        <f t="shared" si="92"/>
        <v>0</v>
      </c>
      <c r="BN89" s="49">
        <f t="shared" si="92"/>
        <v>0</v>
      </c>
      <c r="BO89" s="49">
        <f t="shared" si="92"/>
        <v>0</v>
      </c>
      <c r="BP89" s="49">
        <f t="shared" si="92"/>
        <v>0</v>
      </c>
      <c r="BQ89" s="49">
        <f t="shared" si="92"/>
        <v>0</v>
      </c>
      <c r="BR89" s="44">
        <f>SUBTOTAL(9,BR87:BR88)</f>
        <v>1968</v>
      </c>
    </row>
    <row r="90" spans="1:97">
      <c r="A90" s="199">
        <f>+A87+1</f>
        <v>43187</v>
      </c>
      <c r="B90" s="16" t="s">
        <v>43</v>
      </c>
      <c r="C90" s="33" t="s">
        <v>157</v>
      </c>
      <c r="D90" s="34"/>
      <c r="E90" s="34"/>
      <c r="F90" s="171"/>
      <c r="G90" s="33">
        <f>IF(E90-D90&lt;0,E90-D90,0)*-1</f>
        <v>0</v>
      </c>
      <c r="H90" s="33">
        <f>IF(E90-D90&gt;0,E90-D90,0)</f>
        <v>0</v>
      </c>
      <c r="I90" s="34"/>
      <c r="J90" s="34"/>
      <c r="K90" s="34"/>
      <c r="L90" s="34"/>
      <c r="M90" s="36">
        <f>(+K90)*M$5</f>
        <v>0</v>
      </c>
      <c r="N90" s="36">
        <f>(+K90)*N$5</f>
        <v>0</v>
      </c>
      <c r="O90" s="36">
        <f>+K90-M90-N90+P90</f>
        <v>0</v>
      </c>
      <c r="P90" s="36"/>
      <c r="Q90" s="37"/>
      <c r="R90" s="34"/>
      <c r="S90" s="34"/>
      <c r="T90" s="36"/>
      <c r="U90" s="36"/>
      <c r="V90" s="36"/>
      <c r="W90" s="36"/>
      <c r="X90" s="37"/>
      <c r="Y90" s="34"/>
      <c r="Z90" s="34"/>
      <c r="AA90" s="34"/>
      <c r="AB90" s="34"/>
      <c r="AC90" s="34"/>
      <c r="AD90" s="38"/>
      <c r="AE90" s="38"/>
      <c r="AF90" s="34"/>
      <c r="AG90" s="33">
        <f>(AF90*0.8)*0.85</f>
        <v>0</v>
      </c>
      <c r="AH90" s="33">
        <f>(AF90*0.8)*0.15</f>
        <v>0</v>
      </c>
      <c r="AI90" s="33">
        <f>AF90*0.2</f>
        <v>0</v>
      </c>
      <c r="AJ90" s="34"/>
      <c r="AK90" s="33">
        <v>0</v>
      </c>
      <c r="AL90" s="33">
        <f t="shared" ref="AL90:AL91" si="93">AK90-SUM(Y90:AC90)</f>
        <v>0</v>
      </c>
      <c r="AM90" s="33">
        <f t="shared" si="89"/>
        <v>0</v>
      </c>
      <c r="AN90" s="33">
        <f t="shared" si="76"/>
        <v>0</v>
      </c>
      <c r="AO90" s="39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33">
        <f>SUM(AO90:AY90)</f>
        <v>0</v>
      </c>
      <c r="BA90" s="38"/>
      <c r="BB90" s="38"/>
      <c r="BC90" s="33">
        <f>SUM(BE90:BM90)*0.1+(BN90*0.5)</f>
        <v>0</v>
      </c>
      <c r="BD90" s="33">
        <f>SUM(BE90:BM90)+(BN90*0.5)</f>
        <v>0</v>
      </c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41">
        <f>AZ90+BA90+BB90+BD90-BC90</f>
        <v>0</v>
      </c>
      <c r="BT90" s="146"/>
      <c r="BU90" s="145"/>
      <c r="BV90" s="145"/>
      <c r="BW90" s="145"/>
      <c r="BX90" s="145"/>
      <c r="BY90" s="145"/>
      <c r="BZ90" s="145"/>
      <c r="CA90" s="145"/>
      <c r="CB90" s="145"/>
      <c r="CC90" s="145"/>
      <c r="CD90" s="145"/>
      <c r="CE90" s="145"/>
      <c r="CF90" s="145"/>
      <c r="CG90" s="145"/>
      <c r="CH90" s="145"/>
      <c r="CI90" s="145"/>
      <c r="CJ90" s="145"/>
      <c r="CK90" s="145"/>
      <c r="CL90" s="145"/>
      <c r="CM90" s="145"/>
      <c r="CN90" s="145"/>
      <c r="CO90" s="145"/>
      <c r="CP90" s="145"/>
      <c r="CQ90" s="145"/>
      <c r="CR90" s="145"/>
      <c r="CS90" s="145"/>
    </row>
    <row r="91" spans="1:97" ht="15.75" thickBot="1">
      <c r="A91" s="200"/>
      <c r="B91" s="16" t="s">
        <v>44</v>
      </c>
      <c r="C91" s="33">
        <v>9351.51</v>
      </c>
      <c r="D91" s="34">
        <v>5620.71</v>
      </c>
      <c r="E91" s="34">
        <v>5622</v>
      </c>
      <c r="F91" s="171">
        <v>43220</v>
      </c>
      <c r="G91" s="33">
        <f>IF(E91-D91&lt;0,E91-D91,0)*-1</f>
        <v>0</v>
      </c>
      <c r="H91" s="33">
        <f>IF(E91-D91&gt;0,E91-D91,0)</f>
        <v>1.2899999999999636</v>
      </c>
      <c r="I91" s="34"/>
      <c r="J91" s="34"/>
      <c r="K91" s="34">
        <v>3730.8</v>
      </c>
      <c r="L91" s="34"/>
      <c r="M91" s="36">
        <f>(+K91)*M$5</f>
        <v>80.212199999999996</v>
      </c>
      <c r="N91" s="36">
        <f>(+K91)*N$5</f>
        <v>18.654</v>
      </c>
      <c r="O91" s="36">
        <f>+K91-M91-N91+P91</f>
        <v>3631.9338000000002</v>
      </c>
      <c r="P91" s="36"/>
      <c r="Q91" s="37"/>
      <c r="R91" s="34"/>
      <c r="S91" s="34"/>
      <c r="T91" s="36"/>
      <c r="U91" s="36"/>
      <c r="V91" s="36"/>
      <c r="W91" s="36"/>
      <c r="X91" s="37"/>
      <c r="Y91" s="34"/>
      <c r="Z91" s="34"/>
      <c r="AA91" s="34"/>
      <c r="AB91" s="34"/>
      <c r="AC91" s="34"/>
      <c r="AD91" s="38"/>
      <c r="AE91" s="38"/>
      <c r="AF91" s="34">
        <v>766.51</v>
      </c>
      <c r="AG91" s="33">
        <f>(AF91*0.8)*0.85</f>
        <v>521.22679999999991</v>
      </c>
      <c r="AH91" s="33">
        <f>(AF91*0.8)*0.15</f>
        <v>91.981199999999987</v>
      </c>
      <c r="AI91" s="33">
        <f>AF91*0.2</f>
        <v>153.30199999999999</v>
      </c>
      <c r="AJ91" s="34"/>
      <c r="AK91" s="33">
        <f t="shared" ref="AK90:AK91" si="94">(C91-AF91-AJ91)/1.12</f>
        <v>7665.1785714285706</v>
      </c>
      <c r="AL91" s="33">
        <f t="shared" si="93"/>
        <v>7665.1785714285706</v>
      </c>
      <c r="AM91" s="33">
        <f t="shared" si="89"/>
        <v>919.82142857142844</v>
      </c>
      <c r="AN91" s="33">
        <f t="shared" si="76"/>
        <v>8585</v>
      </c>
      <c r="AO91" s="39"/>
      <c r="AP91" s="40"/>
      <c r="AQ91" s="40"/>
      <c r="AR91" s="40">
        <v>65</v>
      </c>
      <c r="AS91" s="40"/>
      <c r="AT91" s="40"/>
      <c r="AU91" s="40"/>
      <c r="AV91" s="40"/>
      <c r="AW91" s="40"/>
      <c r="AX91" s="40"/>
      <c r="AY91" s="40"/>
      <c r="AZ91" s="33">
        <f>SUM(AO91:AY91)</f>
        <v>65</v>
      </c>
      <c r="BA91" s="38"/>
      <c r="BB91" s="38"/>
      <c r="BC91" s="33">
        <v>0</v>
      </c>
      <c r="BD91" s="33">
        <v>0</v>
      </c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41">
        <f>AZ91+BA91+BB91+BD91-BC91</f>
        <v>65</v>
      </c>
      <c r="BT91" s="146"/>
      <c r="BU91" s="145"/>
      <c r="BV91" s="145"/>
      <c r="BW91" s="145"/>
      <c r="BX91" s="145"/>
      <c r="BY91" s="145"/>
      <c r="BZ91" s="145"/>
      <c r="CA91" s="145"/>
      <c r="CB91" s="145"/>
      <c r="CC91" s="145"/>
      <c r="CD91" s="145"/>
      <c r="CE91" s="145"/>
      <c r="CF91" s="145"/>
      <c r="CG91" s="145"/>
      <c r="CH91" s="145"/>
      <c r="CI91" s="145"/>
      <c r="CJ91" s="145"/>
      <c r="CK91" s="145"/>
      <c r="CL91" s="145"/>
      <c r="CM91" s="145"/>
      <c r="CN91" s="145"/>
      <c r="CO91" s="145"/>
      <c r="CP91" s="145"/>
      <c r="CQ91" s="145"/>
      <c r="CR91" s="145"/>
      <c r="CS91" s="145"/>
    </row>
    <row r="92" spans="1:97" ht="15.75" thickBot="1">
      <c r="A92" s="42"/>
      <c r="B92" s="43"/>
      <c r="C92" s="44">
        <f>SUBTOTAL(9,C90:C91)</f>
        <v>9351.51</v>
      </c>
      <c r="D92" s="45">
        <f>SUBTOTAL(9,D90:D91)</f>
        <v>5620.71</v>
      </c>
      <c r="E92" s="45">
        <f>SUBTOTAL(9,E90:E91)</f>
        <v>5622</v>
      </c>
      <c r="F92" s="172"/>
      <c r="G92" s="45">
        <f t="shared" ref="G92:P92" si="95">SUBTOTAL(9,G90:G91)</f>
        <v>0</v>
      </c>
      <c r="H92" s="45">
        <f t="shared" si="95"/>
        <v>1.2899999999999636</v>
      </c>
      <c r="I92" s="45">
        <f t="shared" si="95"/>
        <v>0</v>
      </c>
      <c r="J92" s="45">
        <f t="shared" si="95"/>
        <v>0</v>
      </c>
      <c r="K92" s="45"/>
      <c r="L92" s="45">
        <f t="shared" si="95"/>
        <v>0</v>
      </c>
      <c r="M92" s="46">
        <f t="shared" si="95"/>
        <v>80.212199999999996</v>
      </c>
      <c r="N92" s="46">
        <f t="shared" si="95"/>
        <v>18.654</v>
      </c>
      <c r="O92" s="46">
        <f t="shared" si="95"/>
        <v>3631.9338000000002</v>
      </c>
      <c r="P92" s="46">
        <f t="shared" si="95"/>
        <v>0</v>
      </c>
      <c r="Q92" s="47"/>
      <c r="R92" s="45">
        <f t="shared" ref="R92:BQ92" si="96">SUBTOTAL(9,R90:R91)</f>
        <v>0</v>
      </c>
      <c r="S92" s="45">
        <f t="shared" si="96"/>
        <v>0</v>
      </c>
      <c r="T92" s="46">
        <f t="shared" si="96"/>
        <v>0</v>
      </c>
      <c r="U92" s="46">
        <f t="shared" si="96"/>
        <v>0</v>
      </c>
      <c r="V92" s="46">
        <f t="shared" si="96"/>
        <v>0</v>
      </c>
      <c r="W92" s="46">
        <f t="shared" si="96"/>
        <v>0</v>
      </c>
      <c r="X92" s="47"/>
      <c r="Y92" s="45">
        <f>SUBTOTAL(9,Y90:Y91)</f>
        <v>0</v>
      </c>
      <c r="Z92" s="45"/>
      <c r="AA92" s="45"/>
      <c r="AB92" s="45"/>
      <c r="AC92" s="45"/>
      <c r="AD92" s="48"/>
      <c r="AE92" s="48"/>
      <c r="AF92" s="45"/>
      <c r="AG92" s="44">
        <f t="shared" si="96"/>
        <v>521.22679999999991</v>
      </c>
      <c r="AH92" s="44">
        <f t="shared" si="96"/>
        <v>91.981199999999987</v>
      </c>
      <c r="AI92" s="44">
        <f t="shared" si="96"/>
        <v>153.30199999999999</v>
      </c>
      <c r="AJ92" s="45">
        <f t="shared" si="96"/>
        <v>0</v>
      </c>
      <c r="AK92" s="44">
        <f t="shared" si="96"/>
        <v>7665.1785714285706</v>
      </c>
      <c r="AL92" s="44">
        <f t="shared" si="96"/>
        <v>7665.1785714285706</v>
      </c>
      <c r="AM92" s="44">
        <f t="shared" si="96"/>
        <v>919.82142857142844</v>
      </c>
      <c r="AN92" s="44">
        <f t="shared" si="76"/>
        <v>8585</v>
      </c>
      <c r="AO92" s="49">
        <f t="shared" si="96"/>
        <v>0</v>
      </c>
      <c r="AP92" s="49">
        <f t="shared" si="96"/>
        <v>0</v>
      </c>
      <c r="AQ92" s="49">
        <f t="shared" si="96"/>
        <v>0</v>
      </c>
      <c r="AR92" s="49">
        <f t="shared" si="96"/>
        <v>65</v>
      </c>
      <c r="AS92" s="49">
        <f t="shared" si="96"/>
        <v>0</v>
      </c>
      <c r="AT92" s="49">
        <f t="shared" si="96"/>
        <v>0</v>
      </c>
      <c r="AU92" s="49">
        <f>SUBTOTAL(9,AU90:AU91)</f>
        <v>0</v>
      </c>
      <c r="AV92" s="49">
        <f t="shared" si="96"/>
        <v>0</v>
      </c>
      <c r="AW92" s="49">
        <f t="shared" si="96"/>
        <v>0</v>
      </c>
      <c r="AX92" s="49">
        <f t="shared" si="96"/>
        <v>0</v>
      </c>
      <c r="AY92" s="49">
        <f t="shared" si="96"/>
        <v>0</v>
      </c>
      <c r="AZ92" s="44">
        <f t="shared" si="96"/>
        <v>65</v>
      </c>
      <c r="BA92" s="48">
        <f t="shared" si="96"/>
        <v>0</v>
      </c>
      <c r="BB92" s="48">
        <f t="shared" si="96"/>
        <v>0</v>
      </c>
      <c r="BC92" s="44">
        <f t="shared" si="96"/>
        <v>0</v>
      </c>
      <c r="BD92" s="44">
        <f t="shared" si="96"/>
        <v>0</v>
      </c>
      <c r="BE92" s="49">
        <f t="shared" si="96"/>
        <v>0</v>
      </c>
      <c r="BF92" s="49">
        <f>SUBTOTAL(9,BF90:BF91)</f>
        <v>0</v>
      </c>
      <c r="BG92" s="49">
        <f t="shared" si="96"/>
        <v>0</v>
      </c>
      <c r="BH92" s="49">
        <f t="shared" si="96"/>
        <v>0</v>
      </c>
      <c r="BI92" s="49">
        <f t="shared" si="96"/>
        <v>0</v>
      </c>
      <c r="BJ92" s="49">
        <f t="shared" si="96"/>
        <v>0</v>
      </c>
      <c r="BK92" s="49">
        <f t="shared" si="96"/>
        <v>0</v>
      </c>
      <c r="BL92" s="49">
        <f t="shared" si="96"/>
        <v>0</v>
      </c>
      <c r="BM92" s="49">
        <f t="shared" si="96"/>
        <v>0</v>
      </c>
      <c r="BN92" s="49">
        <f t="shared" si="96"/>
        <v>0</v>
      </c>
      <c r="BO92" s="49">
        <f t="shared" si="96"/>
        <v>0</v>
      </c>
      <c r="BP92" s="49">
        <f t="shared" si="96"/>
        <v>0</v>
      </c>
      <c r="BQ92" s="49">
        <f t="shared" si="96"/>
        <v>0</v>
      </c>
      <c r="BR92" s="44">
        <f>SUBTOTAL(9,BR90:BR91)</f>
        <v>65</v>
      </c>
    </row>
    <row r="93" spans="1:97">
      <c r="A93" s="199">
        <f>+A90+1</f>
        <v>43188</v>
      </c>
      <c r="B93" s="16" t="s">
        <v>43</v>
      </c>
      <c r="C93" s="33" t="s">
        <v>154</v>
      </c>
      <c r="D93" s="34"/>
      <c r="E93" s="34"/>
      <c r="F93" s="171"/>
      <c r="G93" s="33">
        <f>IF(E93-D93&lt;0,E93-D93,0)*-1</f>
        <v>0</v>
      </c>
      <c r="H93" s="33">
        <f>IF(E93-D93&gt;0,E93-D93,0)</f>
        <v>0</v>
      </c>
      <c r="I93" s="34"/>
      <c r="J93" s="34"/>
      <c r="K93" s="34"/>
      <c r="L93" s="34"/>
      <c r="M93" s="36">
        <f>(+K93)*M$5</f>
        <v>0</v>
      </c>
      <c r="N93" s="36">
        <f>(+K93)*N$5</f>
        <v>0</v>
      </c>
      <c r="O93" s="36">
        <f>+K93-M93-N93+P93</f>
        <v>0</v>
      </c>
      <c r="P93" s="36"/>
      <c r="Q93" s="37"/>
      <c r="R93" s="34"/>
      <c r="S93" s="34"/>
      <c r="T93" s="36"/>
      <c r="U93" s="36"/>
      <c r="V93" s="36"/>
      <c r="W93" s="36"/>
      <c r="X93" s="37"/>
      <c r="Y93" s="34"/>
      <c r="Z93" s="34"/>
      <c r="AA93" s="34"/>
      <c r="AB93" s="34"/>
      <c r="AC93" s="34"/>
      <c r="AD93" s="38"/>
      <c r="AE93" s="38"/>
      <c r="AF93" s="34"/>
      <c r="AG93" s="33">
        <f>(AF93*0.8)*0.85</f>
        <v>0</v>
      </c>
      <c r="AH93" s="33">
        <f>(AF93*0.8)*0.15</f>
        <v>0</v>
      </c>
      <c r="AI93" s="33">
        <f>AF93*0.2</f>
        <v>0</v>
      </c>
      <c r="AJ93" s="34"/>
      <c r="AK93" s="33">
        <v>0</v>
      </c>
      <c r="AL93" s="33">
        <f>AK93-SUM(Y93:AC93)</f>
        <v>0</v>
      </c>
      <c r="AM93" s="33">
        <f>+AL93*0.12</f>
        <v>0</v>
      </c>
      <c r="AN93" s="33">
        <f>+AM93+AL93+AJ93</f>
        <v>0</v>
      </c>
      <c r="AO93" s="39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33">
        <f>SUM(AO93:AY93)</f>
        <v>0</v>
      </c>
      <c r="BA93" s="38"/>
      <c r="BB93" s="38"/>
      <c r="BC93" s="33">
        <f>SUM(BE93:BM93)*0.1+(BN93*0.5)</f>
        <v>0</v>
      </c>
      <c r="BD93" s="33">
        <f>SUM(BE93:BM93)+(BN93*0.5)</f>
        <v>0</v>
      </c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41">
        <f>AZ93+BA93+BB93+BD93-BC93</f>
        <v>0</v>
      </c>
      <c r="BT93" s="146"/>
      <c r="BU93" s="145"/>
      <c r="BV93" s="145"/>
      <c r="BW93" s="145"/>
      <c r="BX93" s="145"/>
      <c r="BY93" s="145"/>
      <c r="BZ93" s="145"/>
      <c r="CA93" s="145"/>
      <c r="CB93" s="145"/>
      <c r="CC93" s="145"/>
      <c r="CD93" s="145"/>
      <c r="CE93" s="145"/>
      <c r="CF93" s="145"/>
      <c r="CG93" s="145"/>
      <c r="CH93" s="145"/>
      <c r="CI93" s="145"/>
      <c r="CJ93" s="145"/>
      <c r="CK93" s="145"/>
      <c r="CL93" s="145"/>
      <c r="CM93" s="145"/>
      <c r="CN93" s="145"/>
      <c r="CO93" s="145"/>
      <c r="CP93" s="145"/>
      <c r="CQ93" s="145"/>
      <c r="CR93" s="145"/>
      <c r="CS93" s="145"/>
    </row>
    <row r="94" spans="1:97" ht="15.75" thickBot="1">
      <c r="A94" s="200"/>
      <c r="B94" s="16" t="s">
        <v>44</v>
      </c>
      <c r="C94" s="33"/>
      <c r="D94" s="34"/>
      <c r="E94" s="34"/>
      <c r="F94" s="171"/>
      <c r="G94" s="33">
        <f>IF(E94-D94&lt;0,E94-D94,0)*-1</f>
        <v>0</v>
      </c>
      <c r="H94" s="33">
        <f>IF(E94-D94&gt;0,E94-D94,0)</f>
        <v>0</v>
      </c>
      <c r="I94" s="34"/>
      <c r="J94" s="34"/>
      <c r="K94" s="34"/>
      <c r="L94" s="34"/>
      <c r="M94" s="36">
        <f>(+K94)*M$5</f>
        <v>0</v>
      </c>
      <c r="N94" s="36">
        <f>(+K94)*N$5</f>
        <v>0</v>
      </c>
      <c r="O94" s="36">
        <f>+K94-M94-N94+P94</f>
        <v>0</v>
      </c>
      <c r="P94" s="36"/>
      <c r="Q94" s="37"/>
      <c r="R94" s="34"/>
      <c r="S94" s="34"/>
      <c r="T94" s="36"/>
      <c r="U94" s="36"/>
      <c r="V94" s="36"/>
      <c r="W94" s="36"/>
      <c r="X94" s="37"/>
      <c r="Y94" s="34"/>
      <c r="Z94" s="34"/>
      <c r="AA94" s="34"/>
      <c r="AB94" s="34"/>
      <c r="AC94" s="34"/>
      <c r="AD94" s="38"/>
      <c r="AE94" s="38"/>
      <c r="AF94" s="34"/>
      <c r="AG94" s="33">
        <f>(AF94*0.8)*0.85</f>
        <v>0</v>
      </c>
      <c r="AH94" s="33">
        <f>(AF94*0.8)*0.15</f>
        <v>0</v>
      </c>
      <c r="AI94" s="33">
        <f>AF94*0.2</f>
        <v>0</v>
      </c>
      <c r="AJ94" s="34"/>
      <c r="AK94" s="33">
        <f>(C94-AF94-AJ94)/1.12</f>
        <v>0</v>
      </c>
      <c r="AL94" s="33">
        <f>AK94-SUM(Y94:AC94)</f>
        <v>0</v>
      </c>
      <c r="AM94" s="33">
        <f>+AL94*0.12</f>
        <v>0</v>
      </c>
      <c r="AN94" s="33">
        <f>+AM94+AL94+AJ94</f>
        <v>0</v>
      </c>
      <c r="AO94" s="39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33">
        <f>SUM(AO94:AY94)</f>
        <v>0</v>
      </c>
      <c r="BA94" s="170"/>
      <c r="BB94" s="38"/>
      <c r="BC94" s="33"/>
      <c r="BD94" s="33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41">
        <f>AZ94+BA94+BB94+BD94-BC94</f>
        <v>0</v>
      </c>
      <c r="BT94" s="146"/>
      <c r="BU94" s="145"/>
      <c r="BV94" s="145"/>
      <c r="BW94" s="145"/>
      <c r="BX94" s="145"/>
      <c r="BY94" s="145"/>
      <c r="BZ94" s="145"/>
      <c r="CA94" s="145"/>
      <c r="CB94" s="145"/>
      <c r="CC94" s="145"/>
      <c r="CD94" s="145"/>
      <c r="CE94" s="145"/>
      <c r="CF94" s="145"/>
      <c r="CG94" s="145"/>
      <c r="CH94" s="145"/>
      <c r="CI94" s="145"/>
      <c r="CJ94" s="145"/>
      <c r="CK94" s="145"/>
      <c r="CL94" s="145"/>
      <c r="CM94" s="145"/>
      <c r="CN94" s="145"/>
      <c r="CO94" s="145"/>
      <c r="CP94" s="145"/>
      <c r="CQ94" s="145"/>
      <c r="CR94" s="145"/>
      <c r="CS94" s="145"/>
    </row>
    <row r="95" spans="1:97" ht="15.75" thickBot="1">
      <c r="A95" s="42"/>
      <c r="B95" s="43"/>
      <c r="C95" s="44">
        <f>SUBTOTAL(9,C93:C94)</f>
        <v>0</v>
      </c>
      <c r="D95" s="162">
        <f>SUBTOTAL(9,D93:D94)</f>
        <v>0</v>
      </c>
      <c r="E95" s="45">
        <f>SUBTOTAL(9,E93:E94)</f>
        <v>0</v>
      </c>
      <c r="F95" s="172"/>
      <c r="G95" s="45">
        <f t="shared" ref="G95:P95" si="97">SUBTOTAL(9,G93:G94)</f>
        <v>0</v>
      </c>
      <c r="H95" s="45">
        <f t="shared" si="97"/>
        <v>0</v>
      </c>
      <c r="I95" s="45">
        <f t="shared" si="97"/>
        <v>0</v>
      </c>
      <c r="J95" s="45">
        <f t="shared" si="97"/>
        <v>0</v>
      </c>
      <c r="K95" s="45"/>
      <c r="L95" s="45">
        <f t="shared" si="97"/>
        <v>0</v>
      </c>
      <c r="M95" s="46">
        <f t="shared" si="97"/>
        <v>0</v>
      </c>
      <c r="N95" s="46">
        <f t="shared" si="97"/>
        <v>0</v>
      </c>
      <c r="O95" s="46">
        <f t="shared" si="97"/>
        <v>0</v>
      </c>
      <c r="P95" s="46">
        <f t="shared" si="97"/>
        <v>0</v>
      </c>
      <c r="Q95" s="47"/>
      <c r="R95" s="45">
        <f t="shared" ref="R95:BQ95" si="98">SUBTOTAL(9,R93:R94)</f>
        <v>0</v>
      </c>
      <c r="S95" s="45">
        <f t="shared" si="98"/>
        <v>0</v>
      </c>
      <c r="T95" s="46">
        <f t="shared" si="98"/>
        <v>0</v>
      </c>
      <c r="U95" s="46">
        <f t="shared" si="98"/>
        <v>0</v>
      </c>
      <c r="V95" s="46">
        <f t="shared" si="98"/>
        <v>0</v>
      </c>
      <c r="W95" s="46">
        <f t="shared" si="98"/>
        <v>0</v>
      </c>
      <c r="X95" s="47"/>
      <c r="Y95" s="45">
        <f>SUBTOTAL(9,Y93:Y94)</f>
        <v>0</v>
      </c>
      <c r="Z95" s="45"/>
      <c r="AA95" s="45"/>
      <c r="AB95" s="45"/>
      <c r="AC95" s="45"/>
      <c r="AD95" s="48"/>
      <c r="AE95" s="48"/>
      <c r="AF95" s="45"/>
      <c r="AG95" s="44">
        <f t="shared" si="98"/>
        <v>0</v>
      </c>
      <c r="AH95" s="44">
        <f t="shared" si="98"/>
        <v>0</v>
      </c>
      <c r="AI95" s="44">
        <f t="shared" si="98"/>
        <v>0</v>
      </c>
      <c r="AJ95" s="45">
        <f t="shared" si="98"/>
        <v>0</v>
      </c>
      <c r="AK95" s="44">
        <f t="shared" si="98"/>
        <v>0</v>
      </c>
      <c r="AL95" s="44">
        <f t="shared" si="98"/>
        <v>0</v>
      </c>
      <c r="AM95" s="44">
        <f t="shared" si="98"/>
        <v>0</v>
      </c>
      <c r="AN95" s="44">
        <f t="shared" si="76"/>
        <v>0</v>
      </c>
      <c r="AO95" s="49">
        <f t="shared" si="98"/>
        <v>0</v>
      </c>
      <c r="AP95" s="49">
        <f t="shared" si="98"/>
        <v>0</v>
      </c>
      <c r="AQ95" s="49">
        <f t="shared" si="98"/>
        <v>0</v>
      </c>
      <c r="AR95" s="49">
        <f t="shared" si="98"/>
        <v>0</v>
      </c>
      <c r="AS95" s="49">
        <f t="shared" si="98"/>
        <v>0</v>
      </c>
      <c r="AT95" s="49">
        <f t="shared" si="98"/>
        <v>0</v>
      </c>
      <c r="AU95" s="49">
        <f>SUBTOTAL(9,AU93:AU94)</f>
        <v>0</v>
      </c>
      <c r="AV95" s="49">
        <f t="shared" si="98"/>
        <v>0</v>
      </c>
      <c r="AW95" s="49">
        <f t="shared" si="98"/>
        <v>0</v>
      </c>
      <c r="AX95" s="49">
        <f t="shared" si="98"/>
        <v>0</v>
      </c>
      <c r="AY95" s="49">
        <f t="shared" si="98"/>
        <v>0</v>
      </c>
      <c r="AZ95" s="44">
        <f t="shared" si="98"/>
        <v>0</v>
      </c>
      <c r="BA95" s="48">
        <f t="shared" si="98"/>
        <v>0</v>
      </c>
      <c r="BB95" s="48">
        <f t="shared" si="98"/>
        <v>0</v>
      </c>
      <c r="BC95" s="44">
        <f t="shared" si="98"/>
        <v>0</v>
      </c>
      <c r="BD95" s="44">
        <f t="shared" si="98"/>
        <v>0</v>
      </c>
      <c r="BE95" s="49">
        <f t="shared" si="98"/>
        <v>0</v>
      </c>
      <c r="BF95" s="49">
        <f>SUBTOTAL(9,BF93:BF94)</f>
        <v>0</v>
      </c>
      <c r="BG95" s="49">
        <f t="shared" si="98"/>
        <v>0</v>
      </c>
      <c r="BH95" s="49">
        <f t="shared" si="98"/>
        <v>0</v>
      </c>
      <c r="BI95" s="49">
        <f t="shared" si="98"/>
        <v>0</v>
      </c>
      <c r="BJ95" s="49">
        <f t="shared" si="98"/>
        <v>0</v>
      </c>
      <c r="BK95" s="49">
        <f t="shared" si="98"/>
        <v>0</v>
      </c>
      <c r="BL95" s="49">
        <f t="shared" si="98"/>
        <v>0</v>
      </c>
      <c r="BM95" s="49">
        <f t="shared" si="98"/>
        <v>0</v>
      </c>
      <c r="BN95" s="49">
        <f t="shared" si="98"/>
        <v>0</v>
      </c>
      <c r="BO95" s="49">
        <f t="shared" si="98"/>
        <v>0</v>
      </c>
      <c r="BP95" s="49">
        <f t="shared" si="98"/>
        <v>0</v>
      </c>
      <c r="BQ95" s="49">
        <f t="shared" si="98"/>
        <v>0</v>
      </c>
      <c r="BR95" s="44">
        <f>SUBTOTAL(9,BR93:BR94)</f>
        <v>0</v>
      </c>
    </row>
    <row r="96" spans="1:97">
      <c r="A96" s="205">
        <f>+A93+1</f>
        <v>43189</v>
      </c>
      <c r="B96" s="16" t="s">
        <v>43</v>
      </c>
      <c r="C96" s="33">
        <v>12721.57</v>
      </c>
      <c r="D96" s="34">
        <v>8713.61</v>
      </c>
      <c r="E96" s="34">
        <v>8710</v>
      </c>
      <c r="F96" s="171">
        <v>43220</v>
      </c>
      <c r="G96" s="33">
        <f>IF(E96-D96&lt;0,E96-D96,0)*-1</f>
        <v>3.6100000000005821</v>
      </c>
      <c r="H96" s="33">
        <f>IF(E96-D96&gt;0,E96-D96,0)</f>
        <v>0</v>
      </c>
      <c r="I96" s="34"/>
      <c r="J96" s="34"/>
      <c r="K96" s="34">
        <v>3851.85</v>
      </c>
      <c r="L96" s="34"/>
      <c r="M96" s="36">
        <f>(+K96)*M$5</f>
        <v>82.814774999999997</v>
      </c>
      <c r="N96" s="36">
        <f>(+K96)*N$5</f>
        <v>19.259250000000002</v>
      </c>
      <c r="O96" s="36">
        <f>+K96-M96-N96+P96</f>
        <v>3749.775975</v>
      </c>
      <c r="P96" s="36"/>
      <c r="Q96" s="37"/>
      <c r="R96" s="34"/>
      <c r="S96" s="34"/>
      <c r="T96" s="36"/>
      <c r="U96" s="36"/>
      <c r="V96" s="36"/>
      <c r="W96" s="36"/>
      <c r="X96" s="37"/>
      <c r="Y96" s="34"/>
      <c r="Z96" s="34">
        <v>13.25</v>
      </c>
      <c r="AA96" s="34"/>
      <c r="AB96" s="34"/>
      <c r="AC96" s="34">
        <v>142.86000000000001</v>
      </c>
      <c r="AD96" s="38"/>
      <c r="AE96" s="38"/>
      <c r="AF96" s="34">
        <v>929.29</v>
      </c>
      <c r="AG96" s="33">
        <f>(AF96*0.8)*0.85</f>
        <v>631.91719999999998</v>
      </c>
      <c r="AH96" s="33">
        <f>(AF96*0.8)*0.15</f>
        <v>111.51479999999999</v>
      </c>
      <c r="AI96" s="33">
        <f>AF96*0.2</f>
        <v>185.858</v>
      </c>
      <c r="AJ96" s="34"/>
      <c r="AK96" s="33">
        <f>(C96-AF96-AJ96)/1.12</f>
        <v>10528.821428571426</v>
      </c>
      <c r="AL96" s="33">
        <f>AK96-SUM(Y96:AC96)</f>
        <v>10372.711428571425</v>
      </c>
      <c r="AM96" s="33">
        <f>+AL96*0.12</f>
        <v>1244.725371428571</v>
      </c>
      <c r="AN96" s="33">
        <f>+AM96+AL96+AJ96</f>
        <v>11617.436799999996</v>
      </c>
      <c r="AO96" s="39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33">
        <f>SUM(AO96:AY96)</f>
        <v>0</v>
      </c>
      <c r="BA96" s="38"/>
      <c r="BB96" s="38"/>
      <c r="BC96" s="33">
        <f>SUM(BE96:BM96)*0.1+(BN96*0.5)</f>
        <v>0</v>
      </c>
      <c r="BD96" s="33">
        <f>SUM(BE96:BM96)+(BN96*0.5)</f>
        <v>0</v>
      </c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41">
        <f>AZ96+BA96+BB96+BD96-BC96</f>
        <v>0</v>
      </c>
      <c r="BT96" s="146"/>
      <c r="BU96" s="145"/>
      <c r="BV96" s="145"/>
      <c r="BW96" s="145"/>
      <c r="BX96" s="145"/>
      <c r="BY96" s="145"/>
      <c r="BZ96" s="145"/>
      <c r="CA96" s="145"/>
      <c r="CB96" s="145"/>
      <c r="CC96" s="145"/>
      <c r="CD96" s="145"/>
      <c r="CE96" s="145"/>
      <c r="CF96" s="145"/>
      <c r="CG96" s="145"/>
      <c r="CH96" s="145"/>
      <c r="CI96" s="145"/>
      <c r="CJ96" s="145"/>
      <c r="CK96" s="145"/>
      <c r="CL96" s="145"/>
      <c r="CM96" s="145"/>
      <c r="CN96" s="145"/>
      <c r="CO96" s="145"/>
      <c r="CP96" s="145"/>
      <c r="CQ96" s="145"/>
      <c r="CR96" s="145"/>
      <c r="CS96" s="145"/>
    </row>
    <row r="97" spans="1:97" ht="15.75" thickBot="1">
      <c r="A97" s="199"/>
      <c r="B97" s="16" t="s">
        <v>44</v>
      </c>
      <c r="C97" s="33">
        <v>13153.13</v>
      </c>
      <c r="D97" s="34">
        <v>7817.31</v>
      </c>
      <c r="E97" s="34">
        <v>7820</v>
      </c>
      <c r="F97" s="171">
        <v>43222</v>
      </c>
      <c r="G97" s="33">
        <f>IF(E97-D97&lt;0,E97-D97,0)*-1</f>
        <v>0</v>
      </c>
      <c r="H97" s="33">
        <f>IF(E97-D97&gt;0,E97-D97,0)</f>
        <v>2.6899999999995998</v>
      </c>
      <c r="I97" s="34"/>
      <c r="J97" s="34"/>
      <c r="K97" s="34">
        <v>5156.68</v>
      </c>
      <c r="L97" s="34"/>
      <c r="M97" s="36">
        <f>(+K97)*M$5</f>
        <v>110.86861999999999</v>
      </c>
      <c r="N97" s="36">
        <f>(+K97)*N$5</f>
        <v>25.7834</v>
      </c>
      <c r="O97" s="36">
        <f>+K97-M97-N97+P97</f>
        <v>5020.0279799999998</v>
      </c>
      <c r="P97" s="36"/>
      <c r="Q97" s="37"/>
      <c r="R97" s="34"/>
      <c r="S97" s="34"/>
      <c r="T97" s="36"/>
      <c r="U97" s="36"/>
      <c r="V97" s="36"/>
      <c r="W97" s="36"/>
      <c r="X97" s="37"/>
      <c r="Y97" s="34"/>
      <c r="Z97" s="34"/>
      <c r="AA97" s="34"/>
      <c r="AB97" s="34">
        <v>47</v>
      </c>
      <c r="AC97" s="34">
        <v>32.14</v>
      </c>
      <c r="AD97" s="170"/>
      <c r="AE97" s="170"/>
      <c r="AF97" s="34">
        <v>1026.42</v>
      </c>
      <c r="AG97" s="33">
        <f>(AF97*0.8)*0.85</f>
        <v>697.96559999999999</v>
      </c>
      <c r="AH97" s="33">
        <f>(AF97*0.8)*0.15</f>
        <v>123.1704</v>
      </c>
      <c r="AI97" s="33">
        <f>AF97*0.2</f>
        <v>205.28400000000002</v>
      </c>
      <c r="AJ97" s="34"/>
      <c r="AK97" s="33">
        <f>(C97-AF97-AJ97)/1.12</f>
        <v>10827.419642857141</v>
      </c>
      <c r="AL97" s="33">
        <f>AK97-SUM(Y97:AC97)</f>
        <v>10748.279642857142</v>
      </c>
      <c r="AM97" s="33">
        <f>+AL97*0.12</f>
        <v>1289.793557142857</v>
      </c>
      <c r="AN97" s="33">
        <f>+AM97+AL97+AJ97</f>
        <v>12038.073199999999</v>
      </c>
      <c r="AO97" s="39">
        <v>435</v>
      </c>
      <c r="AP97" s="40"/>
      <c r="AQ97" s="40">
        <v>65</v>
      </c>
      <c r="AR97" s="40">
        <v>250</v>
      </c>
      <c r="AS97" s="40"/>
      <c r="AT97" s="40"/>
      <c r="AU97" s="40"/>
      <c r="AV97" s="40"/>
      <c r="AW97" s="40"/>
      <c r="AX97" s="40"/>
      <c r="AY97" s="40"/>
      <c r="AZ97" s="33">
        <f>SUM(AO97:AY97)</f>
        <v>750</v>
      </c>
      <c r="BA97" s="38">
        <v>0</v>
      </c>
      <c r="BB97" s="38"/>
      <c r="BC97" s="33"/>
      <c r="BD97" s="33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41">
        <f>AZ97+BA97+BB97+BD97-BC97</f>
        <v>750</v>
      </c>
      <c r="BT97" s="146"/>
      <c r="BU97" s="145"/>
      <c r="BV97" s="145"/>
      <c r="BW97" s="145"/>
      <c r="BX97" s="145"/>
      <c r="BY97" s="145"/>
      <c r="BZ97" s="145"/>
      <c r="CA97" s="145"/>
      <c r="CB97" s="145"/>
      <c r="CC97" s="145"/>
      <c r="CD97" s="145"/>
      <c r="CE97" s="145"/>
      <c r="CF97" s="145"/>
      <c r="CG97" s="145"/>
      <c r="CH97" s="145"/>
      <c r="CI97" s="145"/>
      <c r="CJ97" s="145"/>
      <c r="CK97" s="145"/>
      <c r="CL97" s="145"/>
      <c r="CM97" s="145"/>
      <c r="CN97" s="145"/>
      <c r="CO97" s="145"/>
      <c r="CP97" s="145"/>
      <c r="CQ97" s="145"/>
      <c r="CR97" s="145"/>
      <c r="CS97" s="145"/>
    </row>
    <row r="98" spans="1:97" ht="15.75" thickBot="1">
      <c r="A98" s="160"/>
      <c r="B98" s="43"/>
      <c r="C98" s="44">
        <f>SUBTOTAL(9,C96:C97)</f>
        <v>25874.699999999997</v>
      </c>
      <c r="D98" s="45">
        <f>SUBTOTAL(9,D96:D97)</f>
        <v>16530.920000000002</v>
      </c>
      <c r="E98" s="45">
        <f>SUBTOTAL(9,E96:E97)</f>
        <v>16530</v>
      </c>
      <c r="F98" s="45"/>
      <c r="G98" s="45">
        <f t="shared" ref="G98:P98" si="99">SUBTOTAL(9,G96:G97)</f>
        <v>3.6100000000005821</v>
      </c>
      <c r="H98" s="45">
        <f t="shared" si="99"/>
        <v>2.6899999999995998</v>
      </c>
      <c r="I98" s="45">
        <f t="shared" si="99"/>
        <v>0</v>
      </c>
      <c r="J98" s="45">
        <f t="shared" si="99"/>
        <v>0</v>
      </c>
      <c r="K98" s="45"/>
      <c r="L98" s="45">
        <f t="shared" si="99"/>
        <v>0</v>
      </c>
      <c r="M98" s="46">
        <f t="shared" si="99"/>
        <v>193.68339499999999</v>
      </c>
      <c r="N98" s="46">
        <f t="shared" si="99"/>
        <v>45.042650000000002</v>
      </c>
      <c r="O98" s="46">
        <f t="shared" si="99"/>
        <v>8769.8039549999994</v>
      </c>
      <c r="P98" s="46">
        <f t="shared" si="99"/>
        <v>0</v>
      </c>
      <c r="Q98" s="47"/>
      <c r="R98" s="45">
        <f t="shared" ref="R98:BQ98" si="100">SUBTOTAL(9,R96:R97)</f>
        <v>0</v>
      </c>
      <c r="S98" s="45">
        <f t="shared" si="100"/>
        <v>0</v>
      </c>
      <c r="T98" s="46">
        <f t="shared" si="100"/>
        <v>0</v>
      </c>
      <c r="U98" s="46">
        <f t="shared" si="100"/>
        <v>0</v>
      </c>
      <c r="V98" s="46">
        <f t="shared" si="100"/>
        <v>0</v>
      </c>
      <c r="W98" s="46">
        <f t="shared" si="100"/>
        <v>0</v>
      </c>
      <c r="X98" s="47"/>
      <c r="Y98" s="45">
        <f>SUBTOTAL(9,Y96:Y97)</f>
        <v>0</v>
      </c>
      <c r="Z98" s="45"/>
      <c r="AA98" s="45"/>
      <c r="AB98" s="45"/>
      <c r="AC98" s="45"/>
      <c r="AD98" s="48"/>
      <c r="AE98" s="48"/>
      <c r="AF98" s="45"/>
      <c r="AG98" s="44">
        <f t="shared" si="100"/>
        <v>1329.8827999999999</v>
      </c>
      <c r="AH98" s="44">
        <f t="shared" si="100"/>
        <v>234.68520000000001</v>
      </c>
      <c r="AI98" s="44">
        <f t="shared" si="100"/>
        <v>391.14200000000005</v>
      </c>
      <c r="AJ98" s="45">
        <f t="shared" si="100"/>
        <v>0</v>
      </c>
      <c r="AK98" s="44">
        <f t="shared" si="100"/>
        <v>21356.241071428565</v>
      </c>
      <c r="AL98" s="44">
        <f t="shared" si="100"/>
        <v>21120.991071428565</v>
      </c>
      <c r="AM98" s="44">
        <f t="shared" si="100"/>
        <v>2534.5189285714278</v>
      </c>
      <c r="AN98" s="44">
        <f t="shared" si="76"/>
        <v>23655.509999999995</v>
      </c>
      <c r="AO98" s="49">
        <f t="shared" si="100"/>
        <v>435</v>
      </c>
      <c r="AP98" s="49">
        <f t="shared" si="100"/>
        <v>0</v>
      </c>
      <c r="AQ98" s="49">
        <f t="shared" si="100"/>
        <v>65</v>
      </c>
      <c r="AR98" s="49">
        <f t="shared" si="100"/>
        <v>250</v>
      </c>
      <c r="AS98" s="49">
        <f t="shared" si="100"/>
        <v>0</v>
      </c>
      <c r="AT98" s="49">
        <f t="shared" si="100"/>
        <v>0</v>
      </c>
      <c r="AU98" s="49">
        <f>SUBTOTAL(9,AU96:AU97)</f>
        <v>0</v>
      </c>
      <c r="AV98" s="49">
        <f t="shared" si="100"/>
        <v>0</v>
      </c>
      <c r="AW98" s="49">
        <f t="shared" si="100"/>
        <v>0</v>
      </c>
      <c r="AX98" s="49">
        <f t="shared" si="100"/>
        <v>0</v>
      </c>
      <c r="AY98" s="49">
        <f t="shared" si="100"/>
        <v>0</v>
      </c>
      <c r="AZ98" s="44">
        <f t="shared" si="100"/>
        <v>750</v>
      </c>
      <c r="BA98" s="48">
        <f t="shared" si="100"/>
        <v>0</v>
      </c>
      <c r="BB98" s="48">
        <f t="shared" si="100"/>
        <v>0</v>
      </c>
      <c r="BC98" s="44">
        <f t="shared" si="100"/>
        <v>0</v>
      </c>
      <c r="BD98" s="44">
        <f t="shared" si="100"/>
        <v>0</v>
      </c>
      <c r="BE98" s="49">
        <f t="shared" si="100"/>
        <v>0</v>
      </c>
      <c r="BF98" s="49">
        <f>SUBTOTAL(9,BF96:BF97)</f>
        <v>0</v>
      </c>
      <c r="BG98" s="49">
        <f t="shared" si="100"/>
        <v>0</v>
      </c>
      <c r="BH98" s="49">
        <f t="shared" si="100"/>
        <v>0</v>
      </c>
      <c r="BI98" s="49">
        <f t="shared" si="100"/>
        <v>0</v>
      </c>
      <c r="BJ98" s="49">
        <f t="shared" si="100"/>
        <v>0</v>
      </c>
      <c r="BK98" s="49">
        <f t="shared" si="100"/>
        <v>0</v>
      </c>
      <c r="BL98" s="49">
        <f t="shared" si="100"/>
        <v>0</v>
      </c>
      <c r="BM98" s="49">
        <f t="shared" si="100"/>
        <v>0</v>
      </c>
      <c r="BN98" s="49">
        <f t="shared" si="100"/>
        <v>0</v>
      </c>
      <c r="BO98" s="49">
        <f t="shared" si="100"/>
        <v>0</v>
      </c>
      <c r="BP98" s="49">
        <f t="shared" si="100"/>
        <v>0</v>
      </c>
      <c r="BQ98" s="49">
        <f t="shared" si="100"/>
        <v>0</v>
      </c>
      <c r="BR98" s="161">
        <f>SUBTOTAL(9,BR96:BR97)</f>
        <v>750</v>
      </c>
    </row>
    <row r="99" spans="1:97" ht="15" customHeight="1">
      <c r="A99" s="206">
        <f>+A96+1</f>
        <v>43190</v>
      </c>
      <c r="B99" s="16" t="s">
        <v>43</v>
      </c>
      <c r="C99" s="33"/>
      <c r="D99" s="34"/>
      <c r="E99" s="34"/>
      <c r="F99" s="35"/>
      <c r="G99" s="33">
        <f>IF(E99-D99&lt;0,E99-D99,0)*-1</f>
        <v>0</v>
      </c>
      <c r="H99" s="33">
        <f>IF(E99-D99&gt;0,E99-D99,0)</f>
        <v>0</v>
      </c>
      <c r="I99" s="34"/>
      <c r="J99" s="34"/>
      <c r="K99" s="34"/>
      <c r="L99" s="34"/>
      <c r="M99" s="36">
        <f>(+K99)*M$5</f>
        <v>0</v>
      </c>
      <c r="N99" s="36">
        <f>(+K99)*N$5</f>
        <v>0</v>
      </c>
      <c r="O99" s="36">
        <f>+K99-M99-N99+P99</f>
        <v>0</v>
      </c>
      <c r="P99" s="36">
        <f>L99-(L99*(M$5+N$5))</f>
        <v>0</v>
      </c>
      <c r="Q99" s="37"/>
      <c r="R99" s="34"/>
      <c r="S99" s="34"/>
      <c r="T99" s="36">
        <f>+R99*T$5</f>
        <v>0</v>
      </c>
      <c r="U99" s="36">
        <f>+R99*U$5</f>
        <v>0</v>
      </c>
      <c r="V99" s="36">
        <f>+R99-T99-U99+W99</f>
        <v>0</v>
      </c>
      <c r="W99" s="36">
        <f>+S99-(S99*(T$5+U$5))</f>
        <v>0</v>
      </c>
      <c r="X99" s="37"/>
      <c r="Y99" s="34"/>
      <c r="Z99" s="34"/>
      <c r="AA99" s="34"/>
      <c r="AB99" s="34"/>
      <c r="AC99" s="34"/>
      <c r="AD99" s="38"/>
      <c r="AE99" s="38"/>
      <c r="AF99" s="34"/>
      <c r="AG99" s="33">
        <f>(AF99*0.8)*0.85</f>
        <v>0</v>
      </c>
      <c r="AH99" s="33">
        <f>(AF99*0.8)*0.15</f>
        <v>0</v>
      </c>
      <c r="AI99" s="33">
        <f>AF99*0.2</f>
        <v>0</v>
      </c>
      <c r="AJ99" s="34"/>
      <c r="AK99" s="33">
        <f>(C99-AF99-AJ99)/1.12</f>
        <v>0</v>
      </c>
      <c r="AL99" s="33">
        <f>AK99-SUM(Y99:AC99)</f>
        <v>0</v>
      </c>
      <c r="AM99" s="33">
        <f>+AL99*0.12</f>
        <v>0</v>
      </c>
      <c r="AN99" s="33">
        <f t="shared" si="76"/>
        <v>0</v>
      </c>
      <c r="AO99" s="39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33">
        <f>SUM(AO99:AY99)</f>
        <v>0</v>
      </c>
      <c r="BA99" s="38"/>
      <c r="BB99" s="38"/>
      <c r="BC99" s="33">
        <f>SUM(BE99:BM99)*0.1+(BN99*0.5)</f>
        <v>0</v>
      </c>
      <c r="BD99" s="33">
        <f>SUM(BE99:BM99)+(BN99*0.5)</f>
        <v>0</v>
      </c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159">
        <f>AZ99+BA99+BB99+BD99-BC99</f>
        <v>0</v>
      </c>
      <c r="BT99" s="146"/>
      <c r="BU99" s="145"/>
      <c r="BV99" s="145"/>
      <c r="BW99" s="145"/>
      <c r="BX99" s="145"/>
      <c r="BY99" s="145"/>
      <c r="BZ99" s="145"/>
      <c r="CA99" s="145"/>
      <c r="CB99" s="145"/>
      <c r="CC99" s="145"/>
      <c r="CD99" s="145"/>
      <c r="CE99" s="145"/>
      <c r="CF99" s="145"/>
      <c r="CG99" s="145"/>
      <c r="CH99" s="145"/>
      <c r="CI99" s="145"/>
      <c r="CJ99" s="145"/>
      <c r="CK99" s="145"/>
      <c r="CL99" s="145"/>
      <c r="CM99" s="145"/>
      <c r="CN99" s="145"/>
      <c r="CO99" s="145"/>
      <c r="CP99" s="145"/>
      <c r="CQ99" s="145"/>
      <c r="CR99" s="145"/>
      <c r="CS99" s="145"/>
    </row>
    <row r="100" spans="1:97" ht="15.75" customHeight="1" thickBot="1">
      <c r="A100" s="206"/>
      <c r="B100" s="16" t="s">
        <v>44</v>
      </c>
      <c r="C100" s="33"/>
      <c r="D100" s="34"/>
      <c r="E100" s="34"/>
      <c r="F100" s="35"/>
      <c r="G100" s="33">
        <f>IF(E100-D100&lt;0,E100-D100,0)*-1</f>
        <v>0</v>
      </c>
      <c r="H100" s="33">
        <f>IF(E100-D100&gt;0,E100-D100,0)</f>
        <v>0</v>
      </c>
      <c r="I100" s="34"/>
      <c r="J100" s="34"/>
      <c r="K100" s="34"/>
      <c r="L100" s="34"/>
      <c r="M100" s="36">
        <f>(+K100)*M$5</f>
        <v>0</v>
      </c>
      <c r="N100" s="36">
        <f>(+K100)*N$5</f>
        <v>0</v>
      </c>
      <c r="O100" s="36">
        <f>+K100-M100-N100+P100</f>
        <v>0</v>
      </c>
      <c r="P100" s="36">
        <f>L100-(L100*(M$5+N$5))</f>
        <v>0</v>
      </c>
      <c r="Q100" s="37"/>
      <c r="R100" s="34"/>
      <c r="S100" s="34"/>
      <c r="T100" s="36">
        <f>+R100*T$5</f>
        <v>0</v>
      </c>
      <c r="U100" s="36">
        <f>+R100*U$5</f>
        <v>0</v>
      </c>
      <c r="V100" s="36">
        <f>+R100-T100-U100+W100</f>
        <v>0</v>
      </c>
      <c r="W100" s="36">
        <f>+S100-(S100*(T$5+U$5))</f>
        <v>0</v>
      </c>
      <c r="X100" s="37"/>
      <c r="Y100" s="34"/>
      <c r="Z100" s="34"/>
      <c r="AA100" s="34"/>
      <c r="AB100" s="34"/>
      <c r="AC100" s="34"/>
      <c r="AD100" s="38"/>
      <c r="AE100" s="38"/>
      <c r="AF100" s="34"/>
      <c r="AG100" s="33">
        <f>(AF100*0.8)*0.85</f>
        <v>0</v>
      </c>
      <c r="AH100" s="33">
        <f>(AF100*0.8)*0.15</f>
        <v>0</v>
      </c>
      <c r="AI100" s="33">
        <f>AF100*0.2</f>
        <v>0</v>
      </c>
      <c r="AJ100" s="34"/>
      <c r="AK100" s="33">
        <f>(C100-AF100-AJ100)/1.12</f>
        <v>0</v>
      </c>
      <c r="AL100" s="33">
        <f>AK100-SUM(Y100:AC100)</f>
        <v>0</v>
      </c>
      <c r="AM100" s="33">
        <f>+AL100*0.12</f>
        <v>0</v>
      </c>
      <c r="AN100" s="33">
        <f t="shared" si="76"/>
        <v>0</v>
      </c>
      <c r="AO100" s="39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33">
        <f>SUM(AO100:AY100)</f>
        <v>0</v>
      </c>
      <c r="BA100" s="38"/>
      <c r="BB100" s="38"/>
      <c r="BC100" s="33"/>
      <c r="BD100" s="33"/>
      <c r="BE100" s="39"/>
      <c r="BF100" s="39">
        <v>0</v>
      </c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159">
        <f>AZ100+BA100+BB100+BD100-BC100</f>
        <v>0</v>
      </c>
      <c r="BT100" s="146"/>
      <c r="BU100" s="145"/>
      <c r="BV100" s="145"/>
      <c r="BW100" s="145"/>
      <c r="BX100" s="145"/>
      <c r="BY100" s="145"/>
      <c r="BZ100" s="145"/>
      <c r="CA100" s="145"/>
      <c r="CB100" s="145"/>
      <c r="CC100" s="145"/>
      <c r="CD100" s="145"/>
      <c r="CE100" s="145"/>
      <c r="CF100" s="145"/>
      <c r="CG100" s="145"/>
      <c r="CH100" s="145"/>
      <c r="CI100" s="145"/>
      <c r="CJ100" s="145"/>
      <c r="CK100" s="145"/>
      <c r="CL100" s="145"/>
      <c r="CM100" s="145"/>
      <c r="CN100" s="145"/>
      <c r="CO100" s="145"/>
      <c r="CP100" s="145"/>
      <c r="CQ100" s="145"/>
      <c r="CR100" s="145"/>
      <c r="CS100" s="145"/>
    </row>
    <row r="101" spans="1:97" hidden="1">
      <c r="A101" s="205">
        <f>A96+1</f>
        <v>43190</v>
      </c>
      <c r="B101" s="16" t="s">
        <v>43</v>
      </c>
      <c r="C101" s="33"/>
      <c r="D101" s="34"/>
      <c r="E101" s="34"/>
      <c r="F101" s="156"/>
      <c r="G101" s="33">
        <f>IF(E101-D101&lt;0,E101-D101,0)*-1</f>
        <v>0</v>
      </c>
      <c r="H101" s="33">
        <f>IF(E101-D101&gt;0,E101-D101,0)</f>
        <v>0</v>
      </c>
      <c r="I101" s="34"/>
      <c r="J101" s="34"/>
      <c r="K101" s="34"/>
      <c r="L101" s="34"/>
      <c r="M101" s="36">
        <f>(+K101)*M$5</f>
        <v>0</v>
      </c>
      <c r="N101" s="36">
        <f>(+K101)*N$5</f>
        <v>0</v>
      </c>
      <c r="O101" s="36">
        <f>+K101-M101-N101+P101</f>
        <v>0</v>
      </c>
      <c r="P101" s="36">
        <f>L101-(L101*(M$5+N$5))</f>
        <v>0</v>
      </c>
      <c r="Q101" s="37"/>
      <c r="R101" s="34"/>
      <c r="S101" s="34"/>
      <c r="T101" s="36">
        <f>+R101*T$5</f>
        <v>0</v>
      </c>
      <c r="U101" s="36">
        <f>+R101*U$5</f>
        <v>0</v>
      </c>
      <c r="V101" s="36">
        <f>+R101-T101-U101+W101</f>
        <v>0</v>
      </c>
      <c r="W101" s="36">
        <f>+S101-(S101*(T$5+U$5))</f>
        <v>0</v>
      </c>
      <c r="X101" s="37"/>
      <c r="Y101" s="34"/>
      <c r="Z101" s="34"/>
      <c r="AA101" s="34"/>
      <c r="AB101" s="34"/>
      <c r="AC101" s="34"/>
      <c r="AD101" s="38"/>
      <c r="AE101" s="38"/>
      <c r="AF101" s="34"/>
      <c r="AG101" s="33">
        <f>(AF101*0.8)*0.85</f>
        <v>0</v>
      </c>
      <c r="AH101" s="33">
        <f>(AF101*0.8)*0.15</f>
        <v>0</v>
      </c>
      <c r="AI101" s="33">
        <f>AF101*0.2</f>
        <v>0</v>
      </c>
      <c r="AJ101" s="34"/>
      <c r="AK101" s="33">
        <v>0</v>
      </c>
      <c r="AL101" s="33">
        <f>AK101-SUM(Y101:AC101)</f>
        <v>0</v>
      </c>
      <c r="AM101" s="33">
        <f>+AL101*0.12</f>
        <v>0</v>
      </c>
      <c r="AN101" s="33">
        <f t="shared" si="76"/>
        <v>0</v>
      </c>
      <c r="AO101" s="39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33">
        <f>SUM(AO101:AY101)</f>
        <v>0</v>
      </c>
      <c r="BA101" s="38"/>
      <c r="BB101" s="38"/>
      <c r="BC101" s="33">
        <f>SUM(BE101:BM101)*0.1+(BN101*0.5)</f>
        <v>0</v>
      </c>
      <c r="BD101" s="33">
        <f>SUM(BE101:BM101)+(BN101*0.5)</f>
        <v>0</v>
      </c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41">
        <f>AZ101+BA101+BB101+BD101-BC101</f>
        <v>0</v>
      </c>
      <c r="BT101" s="146"/>
      <c r="BU101" s="145"/>
      <c r="BV101" s="145"/>
      <c r="BW101" s="145"/>
      <c r="BX101" s="145"/>
      <c r="BY101" s="145"/>
      <c r="BZ101" s="145"/>
      <c r="CA101" s="145"/>
      <c r="CB101" s="145"/>
      <c r="CC101" s="145"/>
      <c r="CD101" s="145"/>
      <c r="CE101" s="145"/>
      <c r="CF101" s="145"/>
      <c r="CG101" s="145"/>
      <c r="CH101" s="145"/>
      <c r="CI101" s="145"/>
      <c r="CJ101" s="145"/>
      <c r="CK101" s="145"/>
      <c r="CL101" s="145"/>
      <c r="CM101" s="145"/>
      <c r="CN101" s="145"/>
      <c r="CO101" s="145"/>
      <c r="CP101" s="145"/>
      <c r="CQ101" s="145"/>
      <c r="CR101" s="145"/>
      <c r="CS101" s="145"/>
    </row>
    <row r="102" spans="1:97" ht="15.75" hidden="1" thickBot="1">
      <c r="A102" s="199"/>
      <c r="B102" s="16" t="s">
        <v>44</v>
      </c>
      <c r="C102" s="33"/>
      <c r="D102" s="34"/>
      <c r="E102" s="34"/>
      <c r="F102" s="35"/>
      <c r="G102" s="33">
        <f>IF(E102-D102&lt;0,E102-D102,0)*-1</f>
        <v>0</v>
      </c>
      <c r="H102" s="33">
        <f>IF(E102-D102&gt;0,E102-D102,0)</f>
        <v>0</v>
      </c>
      <c r="I102" s="34"/>
      <c r="J102" s="34"/>
      <c r="K102" s="34"/>
      <c r="L102" s="34"/>
      <c r="M102" s="36">
        <f>(+K102)*M$5</f>
        <v>0</v>
      </c>
      <c r="N102" s="36">
        <f>(+K102)*N$5</f>
        <v>0</v>
      </c>
      <c r="O102" s="36">
        <f>+K102-M102-N102+P102</f>
        <v>0</v>
      </c>
      <c r="P102" s="36">
        <f>L102-(L102*(M$5+N$5))</f>
        <v>0</v>
      </c>
      <c r="Q102" s="37"/>
      <c r="R102" s="34"/>
      <c r="S102" s="34"/>
      <c r="T102" s="36">
        <f>+R102*T$5</f>
        <v>0</v>
      </c>
      <c r="U102" s="36">
        <f>+R102*U$5</f>
        <v>0</v>
      </c>
      <c r="V102" s="36">
        <f>+R102-T102-U102+W102</f>
        <v>0</v>
      </c>
      <c r="W102" s="36">
        <f>+S102-(S102*(T$5+U$5))</f>
        <v>0</v>
      </c>
      <c r="X102" s="37"/>
      <c r="Y102" s="34"/>
      <c r="Z102" s="34"/>
      <c r="AA102" s="34"/>
      <c r="AB102" s="34"/>
      <c r="AC102" s="34"/>
      <c r="AD102" s="38"/>
      <c r="AE102" s="38"/>
      <c r="AF102" s="34"/>
      <c r="AG102" s="33">
        <f>(AF102*0.8)*0.85</f>
        <v>0</v>
      </c>
      <c r="AH102" s="33">
        <f>(AF102*0.8)*0.15</f>
        <v>0</v>
      </c>
      <c r="AI102" s="33">
        <f>AF102*0.2</f>
        <v>0</v>
      </c>
      <c r="AJ102" s="34"/>
      <c r="AK102" s="33">
        <f>(C102-AF102-AJ102)/1.12</f>
        <v>0</v>
      </c>
      <c r="AL102" s="33">
        <f>AK102-SUM(Y102:AC102)</f>
        <v>0</v>
      </c>
      <c r="AM102" s="33">
        <f>+AL102*0.12</f>
        <v>0</v>
      </c>
      <c r="AN102" s="33">
        <f t="shared" si="76"/>
        <v>0</v>
      </c>
      <c r="AO102" s="39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33">
        <f>SUM(AO102:AY102)</f>
        <v>0</v>
      </c>
      <c r="BA102" s="38"/>
      <c r="BB102" s="38"/>
      <c r="BC102" s="33"/>
      <c r="BD102" s="33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41">
        <f>AZ102+BA102+BB102+BD102-BC102</f>
        <v>0</v>
      </c>
      <c r="BT102" s="146"/>
      <c r="BU102" s="145"/>
      <c r="BV102" s="145"/>
      <c r="BW102" s="145"/>
      <c r="BX102" s="145"/>
      <c r="BY102" s="145"/>
      <c r="BZ102" s="145"/>
      <c r="CA102" s="145"/>
      <c r="CB102" s="145"/>
      <c r="CC102" s="145"/>
      <c r="CD102" s="145"/>
      <c r="CE102" s="145"/>
      <c r="CF102" s="145"/>
      <c r="CG102" s="145"/>
      <c r="CH102" s="145"/>
      <c r="CI102" s="145"/>
      <c r="CJ102" s="145"/>
      <c r="CK102" s="145"/>
      <c r="CL102" s="145"/>
      <c r="CM102" s="145"/>
      <c r="CN102" s="145"/>
      <c r="CO102" s="145"/>
      <c r="CP102" s="145"/>
      <c r="CQ102" s="145"/>
      <c r="CR102" s="145"/>
      <c r="CS102" s="145"/>
    </row>
    <row r="103" spans="1:97" ht="15.75" thickBot="1">
      <c r="A103" s="42"/>
      <c r="B103" s="43"/>
      <c r="C103" s="44">
        <f>SUBTOTAL(9,C101:C102)</f>
        <v>0</v>
      </c>
      <c r="D103" s="45">
        <f>SUBTOTAL(9,D101:D102)</f>
        <v>0</v>
      </c>
      <c r="E103" s="45">
        <f>SUBTOTAL(9,E101:E102)</f>
        <v>0</v>
      </c>
      <c r="F103" s="45"/>
      <c r="G103" s="45">
        <f>SUBTOTAL(9,G101:G102)</f>
        <v>0</v>
      </c>
      <c r="H103" s="45">
        <f>SUBTOTAL(9,H101:H102)</f>
        <v>0</v>
      </c>
      <c r="I103" s="45">
        <f>SUBTOTAL(9,I101:I102)</f>
        <v>0</v>
      </c>
      <c r="J103" s="45">
        <f>SUBTOTAL(9,J101:J102)</f>
        <v>0</v>
      </c>
      <c r="K103" s="45"/>
      <c r="L103" s="45">
        <f>SUBTOTAL(9,L101:L102)</f>
        <v>0</v>
      </c>
      <c r="M103" s="46">
        <f>SUBTOTAL(9,M101:M102)</f>
        <v>0</v>
      </c>
      <c r="N103" s="46">
        <f>SUBTOTAL(9,N101:N102)</f>
        <v>0</v>
      </c>
      <c r="O103" s="46">
        <f>SUBTOTAL(9,O101:O102)</f>
        <v>0</v>
      </c>
      <c r="P103" s="46">
        <f>SUBTOTAL(9,P101:P102)</f>
        <v>0</v>
      </c>
      <c r="Q103" s="47"/>
      <c r="R103" s="45">
        <f t="shared" ref="R103:W103" si="101">SUBTOTAL(9,R101:R102)</f>
        <v>0</v>
      </c>
      <c r="S103" s="45">
        <f t="shared" si="101"/>
        <v>0</v>
      </c>
      <c r="T103" s="46">
        <f t="shared" si="101"/>
        <v>0</v>
      </c>
      <c r="U103" s="46">
        <f t="shared" si="101"/>
        <v>0</v>
      </c>
      <c r="V103" s="46">
        <f t="shared" si="101"/>
        <v>0</v>
      </c>
      <c r="W103" s="46">
        <f t="shared" si="101"/>
        <v>0</v>
      </c>
      <c r="X103" s="47"/>
      <c r="Y103" s="45">
        <f>SUBTOTAL(9,Y101:Y102)</f>
        <v>0</v>
      </c>
      <c r="Z103" s="45">
        <v>0</v>
      </c>
      <c r="AA103" s="45"/>
      <c r="AB103" s="45"/>
      <c r="AC103" s="45"/>
      <c r="AD103" s="48"/>
      <c r="AE103" s="48"/>
      <c r="AF103" s="45"/>
      <c r="AG103" s="44">
        <f t="shared" ref="AG103:AM103" si="102">SUBTOTAL(9,AG101:AG102)</f>
        <v>0</v>
      </c>
      <c r="AH103" s="44">
        <f t="shared" si="102"/>
        <v>0</v>
      </c>
      <c r="AI103" s="44">
        <f t="shared" si="102"/>
        <v>0</v>
      </c>
      <c r="AJ103" s="45">
        <f t="shared" si="102"/>
        <v>0</v>
      </c>
      <c r="AK103" s="44">
        <f t="shared" si="102"/>
        <v>0</v>
      </c>
      <c r="AL103" s="44">
        <f t="shared" si="102"/>
        <v>0</v>
      </c>
      <c r="AM103" s="44">
        <f t="shared" si="102"/>
        <v>0</v>
      </c>
      <c r="AN103" s="44">
        <f>+AM103+AL103+AJ103</f>
        <v>0</v>
      </c>
      <c r="AO103" s="49">
        <f t="shared" ref="AO103:AZ103" si="103">SUBTOTAL(9,AO101:AO102)</f>
        <v>0</v>
      </c>
      <c r="AP103" s="49">
        <f t="shared" si="103"/>
        <v>0</v>
      </c>
      <c r="AQ103" s="49">
        <f t="shared" si="103"/>
        <v>0</v>
      </c>
      <c r="AR103" s="49">
        <f t="shared" si="103"/>
        <v>0</v>
      </c>
      <c r="AS103" s="49">
        <f t="shared" si="103"/>
        <v>0</v>
      </c>
      <c r="AT103" s="49">
        <f t="shared" si="103"/>
        <v>0</v>
      </c>
      <c r="AU103" s="49">
        <f t="shared" si="103"/>
        <v>0</v>
      </c>
      <c r="AV103" s="49">
        <f t="shared" si="103"/>
        <v>0</v>
      </c>
      <c r="AW103" s="49">
        <f t="shared" si="103"/>
        <v>0</v>
      </c>
      <c r="AX103" s="49">
        <f t="shared" si="103"/>
        <v>0</v>
      </c>
      <c r="AY103" s="49">
        <f t="shared" si="103"/>
        <v>0</v>
      </c>
      <c r="AZ103" s="44">
        <f t="shared" si="103"/>
        <v>0</v>
      </c>
      <c r="BA103" s="48"/>
      <c r="BB103" s="48">
        <f t="shared" ref="BB103:BR103" si="104">SUBTOTAL(9,BB101:BB102)</f>
        <v>0</v>
      </c>
      <c r="BC103" s="44">
        <f t="shared" si="104"/>
        <v>0</v>
      </c>
      <c r="BD103" s="44">
        <f t="shared" si="104"/>
        <v>0</v>
      </c>
      <c r="BE103" s="49">
        <f t="shared" si="104"/>
        <v>0</v>
      </c>
      <c r="BF103" s="49">
        <f t="shared" si="104"/>
        <v>0</v>
      </c>
      <c r="BG103" s="49">
        <f t="shared" si="104"/>
        <v>0</v>
      </c>
      <c r="BH103" s="49">
        <f t="shared" si="104"/>
        <v>0</v>
      </c>
      <c r="BI103" s="49">
        <f t="shared" si="104"/>
        <v>0</v>
      </c>
      <c r="BJ103" s="49">
        <f t="shared" si="104"/>
        <v>0</v>
      </c>
      <c r="BK103" s="49">
        <f t="shared" si="104"/>
        <v>0</v>
      </c>
      <c r="BL103" s="49">
        <f t="shared" si="104"/>
        <v>0</v>
      </c>
      <c r="BM103" s="49">
        <f t="shared" si="104"/>
        <v>0</v>
      </c>
      <c r="BN103" s="49">
        <f t="shared" si="104"/>
        <v>0</v>
      </c>
      <c r="BO103" s="49">
        <f t="shared" si="104"/>
        <v>0</v>
      </c>
      <c r="BP103" s="49">
        <f t="shared" si="104"/>
        <v>0</v>
      </c>
      <c r="BQ103" s="49">
        <f t="shared" si="104"/>
        <v>0</v>
      </c>
      <c r="BR103" s="44">
        <f t="shared" si="104"/>
        <v>0</v>
      </c>
    </row>
    <row r="104" spans="1:97" ht="15.75" thickBot="1">
      <c r="A104" s="157"/>
      <c r="B104" s="4"/>
      <c r="C104" s="50"/>
      <c r="D104" s="51"/>
      <c r="E104" s="51"/>
      <c r="F104" s="52"/>
      <c r="G104" s="50"/>
      <c r="H104" s="50"/>
      <c r="I104" s="51"/>
      <c r="J104" s="51"/>
      <c r="K104" s="51"/>
      <c r="L104" s="51"/>
      <c r="M104" s="53"/>
      <c r="N104" s="53"/>
      <c r="O104" s="53"/>
      <c r="P104" s="53"/>
      <c r="Q104" s="52"/>
      <c r="R104" s="51"/>
      <c r="S104" s="51"/>
      <c r="T104" s="53"/>
      <c r="U104" s="53"/>
      <c r="V104" s="53"/>
      <c r="W104" s="53"/>
      <c r="X104" s="52"/>
      <c r="Y104" s="51"/>
      <c r="Z104" s="51"/>
      <c r="AA104" s="51"/>
      <c r="AB104" s="51"/>
      <c r="AC104" s="51"/>
      <c r="AD104" s="54"/>
      <c r="AE104" s="54"/>
      <c r="AF104" s="51"/>
      <c r="AG104" s="50"/>
      <c r="AH104" s="50"/>
      <c r="AI104" s="50"/>
      <c r="AJ104" s="51"/>
      <c r="AK104" s="50"/>
      <c r="AL104" s="50"/>
      <c r="AM104" s="50"/>
      <c r="AN104" s="50"/>
      <c r="AO104" s="158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0"/>
      <c r="BA104" s="54"/>
      <c r="BB104" s="54"/>
      <c r="BC104" s="50"/>
      <c r="BD104" s="50"/>
      <c r="BE104" s="55"/>
      <c r="BF104" s="55"/>
      <c r="BG104" s="55"/>
      <c r="BH104" s="55"/>
      <c r="BI104" s="55"/>
      <c r="BJ104" s="55"/>
      <c r="BK104" s="55"/>
      <c r="BL104" s="55"/>
      <c r="BM104" s="55"/>
      <c r="BN104" s="55"/>
      <c r="BO104" s="55"/>
      <c r="BP104" s="55"/>
      <c r="BQ104" s="55"/>
      <c r="BR104" s="50"/>
    </row>
    <row r="105" spans="1:97" ht="16.5" thickTop="1" thickBot="1">
      <c r="A105" s="56" t="s">
        <v>45</v>
      </c>
      <c r="B105" s="56"/>
      <c r="C105" s="57">
        <f>SUBTOTAL(9,C8:C104)</f>
        <v>861361.09</v>
      </c>
      <c r="D105" s="57">
        <f>SUBTOTAL(9,D8:D104)</f>
        <v>610067.68999999994</v>
      </c>
      <c r="E105" s="57">
        <f>SUBTOTAL(9,E8:E104)</f>
        <v>610154</v>
      </c>
      <c r="F105" s="57"/>
      <c r="G105" s="57">
        <f t="shared" ref="G105:O105" si="105">SUBTOTAL(9,G8:G104)</f>
        <v>4.8800000000010186</v>
      </c>
      <c r="H105" s="57">
        <f t="shared" si="105"/>
        <v>91.189999999999145</v>
      </c>
      <c r="I105" s="57">
        <f t="shared" si="105"/>
        <v>0</v>
      </c>
      <c r="J105" s="57">
        <f t="shared" si="105"/>
        <v>0</v>
      </c>
      <c r="K105" s="57">
        <f t="shared" si="105"/>
        <v>222033.06999999998</v>
      </c>
      <c r="L105" s="57">
        <f t="shared" si="105"/>
        <v>0</v>
      </c>
      <c r="M105" s="57">
        <f t="shared" si="105"/>
        <v>5069.9212350000016</v>
      </c>
      <c r="N105" s="57">
        <f t="shared" si="105"/>
        <v>1179.0514499999999</v>
      </c>
      <c r="O105" s="57">
        <f t="shared" si="105"/>
        <v>229561.31731499999</v>
      </c>
      <c r="P105" s="57"/>
      <c r="Q105" s="57"/>
      <c r="R105" s="57">
        <f t="shared" ref="R105:W105" si="106">SUBTOTAL(9,R8:R104)</f>
        <v>0</v>
      </c>
      <c r="S105" s="57">
        <f t="shared" si="106"/>
        <v>0</v>
      </c>
      <c r="T105" s="57">
        <f t="shared" si="106"/>
        <v>0</v>
      </c>
      <c r="U105" s="57">
        <f t="shared" si="106"/>
        <v>0</v>
      </c>
      <c r="V105" s="57">
        <f t="shared" si="106"/>
        <v>0</v>
      </c>
      <c r="W105" s="57">
        <f t="shared" si="106"/>
        <v>0</v>
      </c>
      <c r="X105" s="57"/>
      <c r="Y105" s="57">
        <f>SUBTOTAL(9,Y8:Y104)</f>
        <v>0</v>
      </c>
      <c r="Z105" s="57">
        <f>SUBTOTAL(9,Z8:Z104)</f>
        <v>2385</v>
      </c>
      <c r="AA105" s="57">
        <f>SUBTOTAL(9,AA8:AA104)</f>
        <v>155.5</v>
      </c>
      <c r="AB105" s="57">
        <f>SUBTOTAL(9,AB8:AB104)</f>
        <v>63.5</v>
      </c>
      <c r="AC105" s="57">
        <f>SUBTOTAL(9,AC8:AC104)</f>
        <v>6019.5800000000027</v>
      </c>
      <c r="AD105" s="57"/>
      <c r="AE105" s="57">
        <f t="shared" ref="AE105:AK105" si="107">SUBTOTAL(9,AE8:AE104)</f>
        <v>20480</v>
      </c>
      <c r="AF105" s="57">
        <f t="shared" si="107"/>
        <v>64791.360000000022</v>
      </c>
      <c r="AG105" s="57">
        <f t="shared" si="107"/>
        <v>44058.12480000002</v>
      </c>
      <c r="AH105" s="57">
        <f t="shared" si="107"/>
        <v>7774.9631999999992</v>
      </c>
      <c r="AI105" s="57">
        <f t="shared" si="107"/>
        <v>12958.271999999997</v>
      </c>
      <c r="AJ105" s="57">
        <f t="shared" si="107"/>
        <v>0</v>
      </c>
      <c r="AK105" s="57">
        <f t="shared" si="107"/>
        <v>711222.97321428556</v>
      </c>
      <c r="AL105" s="57">
        <f>+AL11+AL14+AL17+AL20+AL23+AL26+AL29+AL32+AL35+AL38+AL41+AL44+AL47+AL50+AL53+AL56+AL59+AL62+AL65+AL68+AL71+AL74+AL77+AL80+AL83+AL86+AL89+AL92+AL95+AL98+AL102</f>
        <v>673610.61821428558</v>
      </c>
      <c r="AM105" s="57">
        <f>+AM11+AM14+AM17+AM20+AM23+AM26+AM29+AM32+AM35+AM38+AM41+AM44+AM47+AM50+AM53+AM56+AM59+AM62+AM65+AM68+AM71+AM74+AM77+AM80+AM83+AM86+AM89+AM92+AM95+AM98+AM102</f>
        <v>80833.274185714283</v>
      </c>
      <c r="AN105" s="57">
        <f>+AN11+AN14+AN17+AN20+AN23+AN26+AN29+AN32+AN35+AN38+AN41+AN44+AN47+AN50+AN53+AN56+AN59+AN62+AN65+AN68+AN71+AN74+AN77+AN80+AN83+AN86+AN89+AN92+AN95+AN98+AN102</f>
        <v>754443.89240000013</v>
      </c>
      <c r="AO105" s="120">
        <f t="shared" ref="AO105:BR105" si="108">SUBTOTAL(9,AO8:AO104)</f>
        <v>3496</v>
      </c>
      <c r="AP105" s="120">
        <f t="shared" si="108"/>
        <v>1983</v>
      </c>
      <c r="AQ105" s="120">
        <f t="shared" si="108"/>
        <v>1778</v>
      </c>
      <c r="AR105" s="120">
        <f t="shared" si="108"/>
        <v>1810</v>
      </c>
      <c r="AS105" s="120">
        <f t="shared" si="108"/>
        <v>0</v>
      </c>
      <c r="AT105" s="120">
        <f t="shared" si="108"/>
        <v>0</v>
      </c>
      <c r="AU105" s="135">
        <f t="shared" si="108"/>
        <v>0</v>
      </c>
      <c r="AV105" s="135">
        <f t="shared" si="108"/>
        <v>0</v>
      </c>
      <c r="AW105" s="135">
        <f t="shared" si="108"/>
        <v>0</v>
      </c>
      <c r="AX105" s="135">
        <f t="shared" si="108"/>
        <v>0</v>
      </c>
      <c r="AY105" s="57">
        <f t="shared" si="108"/>
        <v>0</v>
      </c>
      <c r="AZ105" s="57">
        <f t="shared" si="108"/>
        <v>8617</v>
      </c>
      <c r="BA105" s="135">
        <f t="shared" si="108"/>
        <v>1735</v>
      </c>
      <c r="BB105" s="57">
        <f t="shared" si="108"/>
        <v>0</v>
      </c>
      <c r="BC105" s="57">
        <f t="shared" si="108"/>
        <v>0</v>
      </c>
      <c r="BD105" s="57">
        <f t="shared" si="108"/>
        <v>0</v>
      </c>
      <c r="BE105" s="134">
        <f t="shared" si="108"/>
        <v>0</v>
      </c>
      <c r="BF105" s="134">
        <f t="shared" si="108"/>
        <v>0</v>
      </c>
      <c r="BG105" s="57">
        <f t="shared" si="108"/>
        <v>1435</v>
      </c>
      <c r="BH105" s="57">
        <f t="shared" si="108"/>
        <v>0</v>
      </c>
      <c r="BI105" s="57">
        <f t="shared" si="108"/>
        <v>0</v>
      </c>
      <c r="BJ105" s="57">
        <f t="shared" si="108"/>
        <v>470</v>
      </c>
      <c r="BK105" s="57">
        <f t="shared" si="108"/>
        <v>0</v>
      </c>
      <c r="BL105" s="57">
        <f t="shared" si="108"/>
        <v>0</v>
      </c>
      <c r="BM105" s="57">
        <f t="shared" si="108"/>
        <v>0</v>
      </c>
      <c r="BN105" s="57">
        <f t="shared" si="108"/>
        <v>0</v>
      </c>
      <c r="BO105" s="57">
        <f t="shared" si="108"/>
        <v>0</v>
      </c>
      <c r="BP105" s="57">
        <f t="shared" si="108"/>
        <v>0</v>
      </c>
      <c r="BQ105" s="57">
        <f t="shared" si="108"/>
        <v>0</v>
      </c>
      <c r="BR105" s="57">
        <f t="shared" si="108"/>
        <v>10352</v>
      </c>
    </row>
    <row r="106" spans="1:97" ht="15.75" thickTop="1">
      <c r="A106" s="4" t="s">
        <v>100</v>
      </c>
      <c r="B106" s="4"/>
      <c r="C106" s="13">
        <f>+AZ105</f>
        <v>8617</v>
      </c>
      <c r="D106" s="147"/>
      <c r="G106" s="147"/>
      <c r="AK106" s="154" t="s">
        <v>138</v>
      </c>
      <c r="AL106" s="154"/>
      <c r="AM106" s="148"/>
      <c r="AN106" s="149"/>
      <c r="AO106" s="150">
        <v>3500</v>
      </c>
      <c r="AP106" s="150">
        <v>1800</v>
      </c>
      <c r="AQ106" s="150">
        <v>1800</v>
      </c>
      <c r="AR106" s="150">
        <v>1800</v>
      </c>
      <c r="AS106" s="150">
        <v>1000</v>
      </c>
      <c r="AT106" s="150">
        <v>1500</v>
      </c>
      <c r="AW106" s="150">
        <v>1500</v>
      </c>
      <c r="AX106" s="150">
        <v>1500</v>
      </c>
      <c r="BD106" s="137" t="s">
        <v>68</v>
      </c>
      <c r="BE106" s="151">
        <f t="shared" ref="BE106:BK106" si="109">+BE11+BE14+BE17+BE20+BE23+BE26+BE29+BE32+BE35+BE38+BE41+BE44+BE47+BE50+BE53</f>
        <v>0</v>
      </c>
      <c r="BF106" s="151">
        <f t="shared" si="109"/>
        <v>0</v>
      </c>
      <c r="BG106" s="151">
        <f t="shared" si="109"/>
        <v>800</v>
      </c>
      <c r="BH106" s="151">
        <f t="shared" si="109"/>
        <v>0</v>
      </c>
      <c r="BI106" s="151">
        <f t="shared" si="109"/>
        <v>0</v>
      </c>
      <c r="BJ106" s="151">
        <f t="shared" si="109"/>
        <v>0</v>
      </c>
      <c r="BK106" s="151">
        <f t="shared" si="109"/>
        <v>0</v>
      </c>
      <c r="BL106" s="138"/>
      <c r="BM106" s="138"/>
      <c r="BN106" s="138"/>
      <c r="BO106" s="138"/>
      <c r="BP106" s="138"/>
      <c r="BQ106" s="138"/>
      <c r="BR106" s="147">
        <f>SUM(BE106:BQ106)</f>
        <v>800</v>
      </c>
    </row>
    <row r="107" spans="1:97">
      <c r="A107" s="4" t="s">
        <v>101</v>
      </c>
      <c r="B107" s="4"/>
      <c r="C107" s="13">
        <f>+BD105</f>
        <v>0</v>
      </c>
      <c r="D107" s="147"/>
      <c r="E107" s="147"/>
      <c r="AK107" s="154" t="s">
        <v>139</v>
      </c>
      <c r="AL107" s="154">
        <f>+AL105</f>
        <v>673610.61821428558</v>
      </c>
      <c r="AM107" s="147"/>
      <c r="AN107" s="149"/>
      <c r="AO107" s="150">
        <f t="shared" ref="AO107:AX107" si="110">+AO106-AO105</f>
        <v>4</v>
      </c>
      <c r="AP107" s="150">
        <f t="shared" si="110"/>
        <v>-183</v>
      </c>
      <c r="AQ107" s="150">
        <f t="shared" si="110"/>
        <v>22</v>
      </c>
      <c r="AR107" s="150">
        <f t="shared" si="110"/>
        <v>-10</v>
      </c>
      <c r="AS107" s="150">
        <f t="shared" si="110"/>
        <v>1000</v>
      </c>
      <c r="AT107" s="150">
        <f t="shared" si="110"/>
        <v>1500</v>
      </c>
      <c r="AU107" s="150">
        <f>+AU106-AU105</f>
        <v>0</v>
      </c>
      <c r="AV107" s="150">
        <f t="shared" si="110"/>
        <v>0</v>
      </c>
      <c r="AW107" s="150">
        <f t="shared" si="110"/>
        <v>1500</v>
      </c>
      <c r="AX107" s="150">
        <f t="shared" si="110"/>
        <v>1500</v>
      </c>
      <c r="BD107" s="138" t="s">
        <v>104</v>
      </c>
      <c r="BE107" s="151">
        <f>BE106*0.9</f>
        <v>0</v>
      </c>
      <c r="BF107" s="151">
        <f>BF106*0.9</f>
        <v>0</v>
      </c>
      <c r="BG107" s="151">
        <f>BG106*0.9</f>
        <v>720</v>
      </c>
      <c r="BH107" s="151">
        <f t="shared" ref="BH107:BQ107" si="111">BH106*0.9</f>
        <v>0</v>
      </c>
      <c r="BI107" s="151">
        <f t="shared" si="111"/>
        <v>0</v>
      </c>
      <c r="BJ107" s="151">
        <f t="shared" si="111"/>
        <v>0</v>
      </c>
      <c r="BK107" s="151">
        <f t="shared" si="111"/>
        <v>0</v>
      </c>
      <c r="BL107" s="151">
        <f t="shared" si="111"/>
        <v>0</v>
      </c>
      <c r="BM107" s="151">
        <f t="shared" si="111"/>
        <v>0</v>
      </c>
      <c r="BN107" s="151">
        <f t="shared" si="111"/>
        <v>0</v>
      </c>
      <c r="BO107" s="151">
        <f t="shared" si="111"/>
        <v>0</v>
      </c>
      <c r="BP107" s="151">
        <f t="shared" si="111"/>
        <v>0</v>
      </c>
      <c r="BQ107" s="151">
        <f t="shared" si="111"/>
        <v>0</v>
      </c>
      <c r="BR107" s="147">
        <f>SUM(BE107:BQ107)</f>
        <v>720</v>
      </c>
    </row>
    <row r="108" spans="1:97">
      <c r="A108" s="4" t="s">
        <v>102</v>
      </c>
      <c r="B108" s="4"/>
      <c r="C108" s="13">
        <f>+BC105</f>
        <v>0</v>
      </c>
      <c r="D108" s="147"/>
      <c r="AK108" s="154" t="s">
        <v>140</v>
      </c>
      <c r="AL108" s="154">
        <f>+AJ105</f>
        <v>0</v>
      </c>
      <c r="AM108" s="148"/>
      <c r="AN108" s="149"/>
      <c r="AO108" s="150">
        <f t="shared" ref="AO108:AX108" si="112">+AO107*0.9</f>
        <v>3.6</v>
      </c>
      <c r="AP108" s="150">
        <f t="shared" si="112"/>
        <v>-164.70000000000002</v>
      </c>
      <c r="AQ108" s="150">
        <f t="shared" si="112"/>
        <v>19.8</v>
      </c>
      <c r="AR108" s="150">
        <f t="shared" si="112"/>
        <v>-9</v>
      </c>
      <c r="AS108" s="150">
        <f t="shared" si="112"/>
        <v>900</v>
      </c>
      <c r="AT108" s="150">
        <f t="shared" si="112"/>
        <v>1350</v>
      </c>
      <c r="AU108" s="150">
        <f>+AU107*0.9</f>
        <v>0</v>
      </c>
      <c r="AV108" s="150">
        <f t="shared" si="112"/>
        <v>0</v>
      </c>
      <c r="AW108" s="150">
        <f t="shared" si="112"/>
        <v>1350</v>
      </c>
      <c r="AX108" s="150">
        <f t="shared" si="112"/>
        <v>1350</v>
      </c>
      <c r="BD108" s="139"/>
      <c r="BE108" s="13"/>
      <c r="BF108" s="13"/>
      <c r="BG108" s="13"/>
      <c r="BH108" s="13"/>
      <c r="BI108" s="13"/>
      <c r="BJ108" s="13"/>
      <c r="BK108" s="4"/>
      <c r="BL108" s="4"/>
      <c r="BM108" s="4"/>
      <c r="BN108" s="4"/>
      <c r="BO108" s="4"/>
      <c r="BP108" s="4"/>
      <c r="BQ108" s="4"/>
    </row>
    <row r="109" spans="1:97" ht="15.75" thickBot="1">
      <c r="A109" s="4" t="s">
        <v>34</v>
      </c>
      <c r="B109" s="4"/>
      <c r="C109" s="152">
        <f>+BA105</f>
        <v>1735</v>
      </c>
      <c r="D109" s="147"/>
      <c r="E109" s="147"/>
      <c r="AK109" s="154" t="s">
        <v>141</v>
      </c>
      <c r="AL109" s="154">
        <f>+AL107+AL108</f>
        <v>673610.61821428558</v>
      </c>
      <c r="AM109" s="148"/>
      <c r="AN109" s="149"/>
      <c r="BD109" s="140" t="s">
        <v>69</v>
      </c>
      <c r="BE109" s="153">
        <f t="shared" ref="BE109:BQ109" si="113">BE56+BE59+BE62+BE65+BE68+BE71+BE74+BE77+BE80+BE83+BE86+BE89+BE92+BE95+BE98+BE102</f>
        <v>0</v>
      </c>
      <c r="BF109" s="153">
        <f t="shared" si="113"/>
        <v>0</v>
      </c>
      <c r="BG109" s="153">
        <f t="shared" si="113"/>
        <v>635</v>
      </c>
      <c r="BH109" s="153" t="e">
        <f t="shared" si="113"/>
        <v>#VALUE!</v>
      </c>
      <c r="BI109" s="153">
        <f t="shared" si="113"/>
        <v>0</v>
      </c>
      <c r="BJ109" s="153">
        <f t="shared" si="113"/>
        <v>470</v>
      </c>
      <c r="BK109" s="153">
        <f t="shared" si="113"/>
        <v>0</v>
      </c>
      <c r="BL109" s="153">
        <f t="shared" si="113"/>
        <v>0</v>
      </c>
      <c r="BM109" s="153">
        <f t="shared" si="113"/>
        <v>0</v>
      </c>
      <c r="BN109" s="153">
        <f t="shared" si="113"/>
        <v>0</v>
      </c>
      <c r="BO109" s="153">
        <f t="shared" si="113"/>
        <v>0</v>
      </c>
      <c r="BP109" s="153">
        <f t="shared" si="113"/>
        <v>0</v>
      </c>
      <c r="BQ109" s="153">
        <f t="shared" si="113"/>
        <v>0</v>
      </c>
      <c r="BR109" s="147" t="e">
        <f>SUM(BE109:BQ109)</f>
        <v>#VALUE!</v>
      </c>
    </row>
    <row r="110" spans="1:97" ht="15.75" thickTop="1">
      <c r="C110" s="3">
        <f>+C109+C108+C107+C106+C105</f>
        <v>871713.09</v>
      </c>
      <c r="D110" s="147"/>
      <c r="AM110" s="148"/>
      <c r="AN110" s="149"/>
      <c r="BD110" s="141" t="s">
        <v>104</v>
      </c>
      <c r="BE110" s="153">
        <f>+BE109*0.9</f>
        <v>0</v>
      </c>
      <c r="BF110" s="153">
        <f>+BF109*0.9</f>
        <v>0</v>
      </c>
      <c r="BG110" s="153">
        <f t="shared" ref="BG110:BQ110" si="114">+BG109*0.9</f>
        <v>571.5</v>
      </c>
      <c r="BH110" s="153" t="e">
        <f t="shared" si="114"/>
        <v>#VALUE!</v>
      </c>
      <c r="BI110" s="153">
        <f t="shared" si="114"/>
        <v>0</v>
      </c>
      <c r="BJ110" s="153">
        <f t="shared" si="114"/>
        <v>423</v>
      </c>
      <c r="BK110" s="153">
        <f t="shared" si="114"/>
        <v>0</v>
      </c>
      <c r="BL110" s="153">
        <f t="shared" si="114"/>
        <v>0</v>
      </c>
      <c r="BM110" s="153">
        <f t="shared" si="114"/>
        <v>0</v>
      </c>
      <c r="BN110" s="153">
        <f t="shared" si="114"/>
        <v>0</v>
      </c>
      <c r="BO110" s="153">
        <f t="shared" si="114"/>
        <v>0</v>
      </c>
      <c r="BP110" s="153">
        <f t="shared" si="114"/>
        <v>0</v>
      </c>
      <c r="BQ110" s="153">
        <f t="shared" si="114"/>
        <v>0</v>
      </c>
      <c r="BR110" s="147" t="e">
        <f>SUM(BE110:BQ110)</f>
        <v>#VALUE!</v>
      </c>
    </row>
    <row r="111" spans="1:97">
      <c r="D111" s="147"/>
      <c r="AM111" s="148"/>
      <c r="AN111" s="149"/>
      <c r="BD111" s="142"/>
      <c r="BE111" s="147"/>
      <c r="BF111" s="147"/>
      <c r="BG111" s="147"/>
      <c r="BH111" s="147"/>
      <c r="BI111" s="147"/>
      <c r="BJ111" s="147"/>
    </row>
    <row r="112" spans="1:97">
      <c r="A112" s="1" t="s">
        <v>117</v>
      </c>
      <c r="C112" s="147"/>
      <c r="D112" s="147"/>
      <c r="AM112" s="148"/>
      <c r="AN112" s="149"/>
      <c r="BD112" s="142"/>
      <c r="BE112" s="147"/>
      <c r="BF112" s="147"/>
      <c r="BG112" s="147"/>
      <c r="BH112" s="147"/>
      <c r="BI112" s="147"/>
      <c r="BJ112" s="147"/>
    </row>
    <row r="113" spans="1:69">
      <c r="D113" s="204" t="s">
        <v>108</v>
      </c>
      <c r="E113" s="204"/>
      <c r="F113" s="204"/>
      <c r="K113" s="4"/>
      <c r="X113" s="4"/>
      <c r="Y113" s="4"/>
      <c r="Z113" s="4"/>
      <c r="AA113" s="4"/>
      <c r="AB113" s="4"/>
      <c r="AC113" s="4"/>
      <c r="AD113" s="4"/>
      <c r="AE113" s="4"/>
      <c r="AF113" s="4"/>
      <c r="AJ113" s="4"/>
      <c r="AM113" s="147"/>
      <c r="AN113" s="147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139"/>
      <c r="BE113" s="53"/>
      <c r="BF113" s="53"/>
      <c r="BG113" s="53"/>
      <c r="BH113" s="53"/>
      <c r="BI113" s="53"/>
      <c r="BJ113" s="53"/>
      <c r="BK113" s="4"/>
      <c r="BL113" s="4"/>
      <c r="BM113" s="4"/>
      <c r="BN113" s="4"/>
      <c r="BO113" s="4"/>
      <c r="BP113" s="4"/>
      <c r="BQ113" s="4"/>
    </row>
    <row r="114" spans="1:69">
      <c r="A114" s="136" t="s">
        <v>96</v>
      </c>
      <c r="C114" s="150"/>
      <c r="D114" s="147" t="s">
        <v>109</v>
      </c>
      <c r="E114" s="136" t="s">
        <v>110</v>
      </c>
      <c r="F114" s="136" t="s">
        <v>2</v>
      </c>
      <c r="AI114" s="147"/>
      <c r="BD114" s="142" t="s">
        <v>99</v>
      </c>
      <c r="BE114" s="150"/>
      <c r="BF114" s="150"/>
      <c r="BG114" s="150"/>
      <c r="BH114" s="150"/>
    </row>
    <row r="115" spans="1:69">
      <c r="A115" s="136" t="s">
        <v>144</v>
      </c>
      <c r="C115" s="150"/>
      <c r="D115" s="147"/>
      <c r="E115" s="147"/>
      <c r="AM115" s="147"/>
      <c r="AN115" s="147"/>
      <c r="BE115" s="150"/>
      <c r="BF115" s="150"/>
      <c r="BG115" s="150"/>
      <c r="BH115" s="150"/>
    </row>
    <row r="116" spans="1:69">
      <c r="D116" s="147"/>
      <c r="E116" s="147"/>
      <c r="AM116" s="147"/>
      <c r="AN116" s="147"/>
      <c r="BE116" s="150"/>
      <c r="BF116" s="150"/>
      <c r="BG116" s="150"/>
      <c r="BH116" s="150"/>
    </row>
    <row r="117" spans="1:69">
      <c r="D117" s="147"/>
      <c r="E117" s="147"/>
      <c r="BD117" s="142"/>
      <c r="BE117" s="150"/>
      <c r="BF117" s="150"/>
      <c r="BG117" s="150"/>
      <c r="BH117" s="150"/>
    </row>
    <row r="118" spans="1:69">
      <c r="D118" s="147"/>
      <c r="E118" s="147"/>
      <c r="BE118" s="150"/>
      <c r="BF118" s="150"/>
      <c r="BG118" s="150"/>
      <c r="BH118" s="150"/>
    </row>
    <row r="119" spans="1:69">
      <c r="D119" s="147"/>
      <c r="E119" s="147"/>
      <c r="BE119" s="150"/>
      <c r="BF119" s="150"/>
      <c r="BG119" s="150"/>
      <c r="BH119" s="150"/>
    </row>
    <row r="120" spans="1:69">
      <c r="D120" s="147"/>
      <c r="E120" s="147"/>
      <c r="BE120" s="150"/>
      <c r="BF120" s="150"/>
      <c r="BG120" s="150"/>
      <c r="BH120" s="150"/>
    </row>
    <row r="121" spans="1:69">
      <c r="C121" s="147"/>
      <c r="D121" s="147"/>
      <c r="E121" s="147"/>
      <c r="F121" s="147"/>
      <c r="G121" s="147"/>
    </row>
    <row r="122" spans="1:69">
      <c r="C122" s="147"/>
      <c r="D122" s="147"/>
      <c r="E122" s="147"/>
      <c r="F122" s="147"/>
      <c r="G122" s="147"/>
    </row>
    <row r="123" spans="1:69">
      <c r="C123" s="147"/>
      <c r="D123" s="147"/>
      <c r="E123" s="147"/>
      <c r="F123" s="147"/>
      <c r="G123" s="147"/>
    </row>
    <row r="124" spans="1:69">
      <c r="C124" s="147"/>
      <c r="D124" s="147"/>
      <c r="E124" s="147"/>
      <c r="F124" s="147"/>
      <c r="G124" s="147"/>
    </row>
    <row r="125" spans="1:69">
      <c r="C125" s="147"/>
      <c r="D125" s="147"/>
      <c r="E125" s="147"/>
      <c r="F125" s="147"/>
      <c r="G125" s="147"/>
    </row>
    <row r="126" spans="1:69">
      <c r="C126" s="147"/>
      <c r="D126" s="147"/>
      <c r="E126" s="147"/>
      <c r="F126" s="147"/>
      <c r="G126" s="147"/>
    </row>
    <row r="127" spans="1:69">
      <c r="C127" s="147"/>
      <c r="D127" s="147"/>
      <c r="E127" s="147"/>
      <c r="F127" s="147"/>
      <c r="G127" s="147"/>
    </row>
    <row r="128" spans="1:69">
      <c r="C128" s="147"/>
      <c r="D128" s="147"/>
      <c r="E128" s="147"/>
      <c r="F128" s="147"/>
      <c r="G128" s="147"/>
    </row>
    <row r="129" spans="3:7">
      <c r="C129" s="147"/>
      <c r="D129" s="147"/>
      <c r="E129" s="147"/>
      <c r="F129" s="147"/>
      <c r="G129" s="147"/>
    </row>
    <row r="130" spans="3:7">
      <c r="C130" s="147"/>
      <c r="D130" s="147"/>
      <c r="E130" s="147"/>
      <c r="F130" s="147"/>
      <c r="G130" s="147"/>
    </row>
    <row r="131" spans="3:7">
      <c r="C131" s="147"/>
      <c r="D131" s="147"/>
      <c r="E131" s="147"/>
      <c r="F131" s="147"/>
      <c r="G131" s="147"/>
    </row>
    <row r="132" spans="3:7">
      <c r="C132" s="147"/>
      <c r="D132" s="147"/>
      <c r="E132" s="147"/>
      <c r="F132" s="147"/>
      <c r="G132" s="147"/>
    </row>
    <row r="133" spans="3:7">
      <c r="C133" s="147"/>
      <c r="D133" s="147"/>
      <c r="E133" s="147"/>
      <c r="F133" s="147"/>
      <c r="G133" s="147"/>
    </row>
    <row r="134" spans="3:7">
      <c r="C134" s="147"/>
      <c r="D134" s="147"/>
      <c r="E134" s="147"/>
      <c r="F134" s="147"/>
      <c r="G134" s="147"/>
    </row>
    <row r="135" spans="3:7">
      <c r="C135" s="147"/>
      <c r="D135" s="147"/>
      <c r="E135" s="147"/>
      <c r="F135" s="147"/>
      <c r="G135" s="147"/>
    </row>
    <row r="136" spans="3:7">
      <c r="C136" s="147"/>
      <c r="D136" s="147"/>
      <c r="E136" s="147"/>
      <c r="F136" s="147"/>
      <c r="G136" s="147"/>
    </row>
    <row r="137" spans="3:7">
      <c r="C137" s="147"/>
      <c r="D137" s="147"/>
      <c r="E137" s="147"/>
      <c r="F137" s="147"/>
      <c r="G137" s="147"/>
    </row>
    <row r="138" spans="3:7">
      <c r="C138" s="147"/>
      <c r="D138" s="147"/>
      <c r="E138" s="147"/>
      <c r="F138" s="147"/>
      <c r="G138" s="147"/>
    </row>
    <row r="139" spans="3:7">
      <c r="C139" s="147"/>
      <c r="D139" s="147"/>
      <c r="E139" s="147"/>
      <c r="F139" s="147"/>
      <c r="G139" s="147"/>
    </row>
    <row r="140" spans="3:7">
      <c r="C140" s="147"/>
      <c r="D140" s="147"/>
      <c r="E140" s="147"/>
      <c r="F140" s="147"/>
      <c r="G140" s="147"/>
    </row>
    <row r="141" spans="3:7">
      <c r="C141" s="147"/>
      <c r="D141" s="147"/>
      <c r="E141" s="147"/>
      <c r="F141" s="147"/>
      <c r="G141" s="147"/>
    </row>
    <row r="142" spans="3:7">
      <c r="C142" s="147"/>
      <c r="D142" s="147"/>
      <c r="E142" s="147"/>
      <c r="F142" s="147"/>
      <c r="G142" s="147"/>
    </row>
    <row r="143" spans="3:7">
      <c r="C143" s="147"/>
      <c r="D143" s="147"/>
      <c r="E143" s="147"/>
      <c r="F143" s="147"/>
      <c r="G143" s="147"/>
    </row>
    <row r="144" spans="3:7">
      <c r="C144" s="147"/>
      <c r="D144" s="147"/>
      <c r="E144" s="147"/>
      <c r="F144" s="147"/>
      <c r="G144" s="147"/>
    </row>
    <row r="145" spans="3:7">
      <c r="C145" s="147"/>
      <c r="D145" s="147"/>
      <c r="E145" s="147"/>
      <c r="F145" s="147"/>
      <c r="G145" s="147"/>
    </row>
    <row r="146" spans="3:7">
      <c r="C146" s="147"/>
      <c r="D146" s="147"/>
      <c r="E146" s="147"/>
      <c r="F146" s="147"/>
      <c r="G146" s="147"/>
    </row>
    <row r="147" spans="3:7">
      <c r="C147" s="147"/>
      <c r="D147" s="147"/>
      <c r="E147" s="147"/>
      <c r="F147" s="147"/>
      <c r="G147" s="147"/>
    </row>
    <row r="148" spans="3:7">
      <c r="C148" s="147"/>
      <c r="D148" s="147"/>
      <c r="E148" s="147"/>
      <c r="F148" s="147"/>
      <c r="G148" s="147"/>
    </row>
    <row r="149" spans="3:7">
      <c r="C149" s="147"/>
      <c r="D149" s="147"/>
      <c r="E149" s="147"/>
      <c r="F149" s="147"/>
      <c r="G149" s="147"/>
    </row>
    <row r="150" spans="3:7">
      <c r="C150" s="147"/>
      <c r="D150" s="147"/>
      <c r="E150" s="147"/>
      <c r="F150" s="147"/>
      <c r="G150" s="147"/>
    </row>
    <row r="151" spans="3:7">
      <c r="C151" s="147"/>
      <c r="D151" s="147"/>
      <c r="E151" s="147"/>
      <c r="F151" s="147"/>
      <c r="G151" s="147"/>
    </row>
    <row r="152" spans="3:7">
      <c r="C152" s="147"/>
      <c r="D152" s="147"/>
      <c r="E152" s="147"/>
      <c r="F152" s="147"/>
      <c r="G152" s="147"/>
    </row>
    <row r="153" spans="3:7">
      <c r="C153" s="147"/>
      <c r="D153" s="147"/>
      <c r="E153" s="147"/>
      <c r="F153" s="147"/>
      <c r="G153" s="147"/>
    </row>
    <row r="154" spans="3:7">
      <c r="C154" s="147"/>
      <c r="D154" s="147"/>
      <c r="E154" s="147"/>
      <c r="F154" s="147"/>
      <c r="G154" s="147"/>
    </row>
    <row r="155" spans="3:7">
      <c r="C155" s="147"/>
      <c r="D155" s="147"/>
      <c r="E155" s="147"/>
      <c r="F155" s="147"/>
      <c r="G155" s="147"/>
    </row>
    <row r="156" spans="3:7">
      <c r="C156" s="147"/>
      <c r="D156" s="147"/>
      <c r="E156" s="147"/>
      <c r="F156" s="147"/>
      <c r="G156" s="147"/>
    </row>
    <row r="157" spans="3:7">
      <c r="C157" s="147"/>
      <c r="D157" s="147"/>
      <c r="E157" s="147"/>
      <c r="F157" s="147"/>
      <c r="G157" s="147"/>
    </row>
    <row r="158" spans="3:7">
      <c r="C158" s="147"/>
      <c r="D158" s="147"/>
      <c r="E158" s="147"/>
      <c r="F158" s="147"/>
      <c r="G158" s="147"/>
    </row>
    <row r="159" spans="3:7">
      <c r="C159" s="147"/>
      <c r="D159" s="147"/>
      <c r="E159" s="147"/>
      <c r="F159" s="147"/>
      <c r="G159" s="147"/>
    </row>
    <row r="160" spans="3:7">
      <c r="C160" s="147"/>
      <c r="D160" s="147"/>
      <c r="E160" s="147"/>
      <c r="F160" s="147"/>
      <c r="G160" s="147"/>
    </row>
    <row r="161" spans="3:7">
      <c r="C161" s="147"/>
      <c r="D161" s="147"/>
      <c r="E161" s="147"/>
      <c r="F161" s="147"/>
      <c r="G161" s="147"/>
    </row>
    <row r="162" spans="3:7">
      <c r="C162" s="147"/>
      <c r="D162" s="147"/>
      <c r="E162" s="147"/>
      <c r="F162" s="147"/>
      <c r="G162" s="147"/>
    </row>
    <row r="163" spans="3:7">
      <c r="C163" s="147"/>
      <c r="D163" s="147"/>
      <c r="E163" s="147"/>
      <c r="F163" s="147"/>
      <c r="G163" s="147"/>
    </row>
    <row r="164" spans="3:7">
      <c r="C164" s="147"/>
      <c r="D164" s="147"/>
      <c r="E164" s="147"/>
      <c r="F164" s="147"/>
      <c r="G164" s="147"/>
    </row>
    <row r="165" spans="3:7">
      <c r="C165" s="147"/>
      <c r="D165" s="147"/>
      <c r="E165" s="147"/>
      <c r="F165" s="147"/>
      <c r="G165" s="147"/>
    </row>
    <row r="166" spans="3:7">
      <c r="C166" s="147"/>
      <c r="D166" s="147"/>
      <c r="E166" s="147"/>
      <c r="F166" s="147"/>
      <c r="G166" s="147"/>
    </row>
    <row r="167" spans="3:7">
      <c r="C167" s="147"/>
      <c r="D167" s="147"/>
      <c r="E167" s="147"/>
      <c r="F167" s="147"/>
      <c r="G167" s="147"/>
    </row>
    <row r="168" spans="3:7">
      <c r="C168" s="147"/>
      <c r="D168" s="147"/>
      <c r="E168" s="147"/>
      <c r="F168" s="147"/>
      <c r="G168" s="147"/>
    </row>
    <row r="169" spans="3:7">
      <c r="C169" s="147"/>
      <c r="D169" s="147"/>
      <c r="E169" s="147"/>
      <c r="F169" s="147"/>
      <c r="G169" s="147"/>
    </row>
    <row r="170" spans="3:7">
      <c r="C170" s="147"/>
      <c r="D170" s="147"/>
      <c r="E170" s="147"/>
      <c r="F170" s="147"/>
      <c r="G170" s="147"/>
    </row>
    <row r="171" spans="3:7">
      <c r="C171" s="147"/>
      <c r="D171" s="147"/>
      <c r="E171" s="147"/>
      <c r="F171" s="147"/>
      <c r="G171" s="147"/>
    </row>
    <row r="172" spans="3:7">
      <c r="C172" s="147"/>
      <c r="D172" s="147"/>
      <c r="E172" s="147"/>
      <c r="F172" s="147"/>
      <c r="G172" s="147"/>
    </row>
    <row r="173" spans="3:7">
      <c r="C173" s="147"/>
      <c r="D173" s="147"/>
      <c r="E173" s="147"/>
      <c r="F173" s="147"/>
      <c r="G173" s="147"/>
    </row>
    <row r="174" spans="3:7">
      <c r="C174" s="147"/>
      <c r="D174" s="147"/>
      <c r="E174" s="147"/>
      <c r="F174" s="147"/>
      <c r="G174" s="147"/>
    </row>
    <row r="175" spans="3:7">
      <c r="C175" s="147"/>
      <c r="D175" s="147"/>
      <c r="E175" s="147"/>
      <c r="F175" s="147"/>
      <c r="G175" s="147"/>
    </row>
    <row r="176" spans="3:7">
      <c r="C176" s="147"/>
      <c r="D176" s="147"/>
      <c r="E176" s="147"/>
      <c r="F176" s="147"/>
      <c r="G176" s="147"/>
    </row>
    <row r="177" spans="3:7">
      <c r="C177" s="147"/>
      <c r="D177" s="147"/>
      <c r="E177" s="147"/>
      <c r="F177" s="147"/>
      <c r="G177" s="147"/>
    </row>
    <row r="178" spans="3:7">
      <c r="C178" s="147"/>
      <c r="D178" s="147"/>
      <c r="E178" s="147"/>
      <c r="F178" s="147"/>
      <c r="G178" s="147"/>
    </row>
    <row r="179" spans="3:7">
      <c r="C179" s="147"/>
      <c r="D179" s="147"/>
      <c r="E179" s="147"/>
      <c r="F179" s="147"/>
      <c r="G179" s="147"/>
    </row>
    <row r="180" spans="3:7">
      <c r="C180" s="147"/>
      <c r="D180" s="147"/>
      <c r="E180" s="147"/>
      <c r="F180" s="147"/>
      <c r="G180" s="147"/>
    </row>
    <row r="181" spans="3:7">
      <c r="C181" s="147"/>
      <c r="D181" s="147"/>
      <c r="E181" s="147"/>
      <c r="F181" s="147"/>
      <c r="G181" s="147"/>
    </row>
    <row r="182" spans="3:7">
      <c r="C182" s="147"/>
      <c r="D182" s="147"/>
      <c r="E182" s="147"/>
      <c r="F182" s="147"/>
      <c r="G182" s="147"/>
    </row>
    <row r="183" spans="3:7">
      <c r="C183" s="147"/>
      <c r="D183" s="147"/>
      <c r="E183" s="147"/>
      <c r="F183" s="147"/>
      <c r="G183" s="147"/>
    </row>
    <row r="184" spans="3:7">
      <c r="C184" s="147"/>
      <c r="D184" s="147"/>
      <c r="E184" s="147"/>
      <c r="F184" s="147"/>
      <c r="G184" s="147"/>
    </row>
    <row r="185" spans="3:7">
      <c r="C185" s="147"/>
      <c r="D185" s="147"/>
      <c r="E185" s="147"/>
      <c r="F185" s="147"/>
      <c r="G185" s="147"/>
    </row>
    <row r="186" spans="3:7">
      <c r="C186" s="147"/>
      <c r="D186" s="147"/>
      <c r="E186" s="147"/>
      <c r="F186" s="147"/>
      <c r="G186" s="147"/>
    </row>
    <row r="187" spans="3:7">
      <c r="C187" s="147"/>
      <c r="D187" s="147"/>
      <c r="E187" s="147"/>
      <c r="F187" s="147"/>
      <c r="G187" s="147"/>
    </row>
    <row r="188" spans="3:7">
      <c r="C188" s="147"/>
      <c r="D188" s="147"/>
      <c r="E188" s="147"/>
      <c r="F188" s="147"/>
      <c r="G188" s="147"/>
    </row>
    <row r="189" spans="3:7">
      <c r="C189" s="147"/>
      <c r="D189" s="147"/>
      <c r="E189" s="147"/>
      <c r="F189" s="147"/>
      <c r="G189" s="147"/>
    </row>
    <row r="190" spans="3:7">
      <c r="C190" s="147"/>
      <c r="D190" s="147"/>
      <c r="E190" s="147"/>
      <c r="F190" s="147"/>
      <c r="G190" s="147"/>
    </row>
  </sheetData>
  <mergeCells count="92">
    <mergeCell ref="A69:A70"/>
    <mergeCell ref="A72:A73"/>
    <mergeCell ref="A48:A49"/>
    <mergeCell ref="A51:A52"/>
    <mergeCell ref="A90:A91"/>
    <mergeCell ref="A54:A55"/>
    <mergeCell ref="A57:A58"/>
    <mergeCell ref="A60:A61"/>
    <mergeCell ref="A75:A76"/>
    <mergeCell ref="A78:A79"/>
    <mergeCell ref="A81:A82"/>
    <mergeCell ref="A84:A85"/>
    <mergeCell ref="A63:A64"/>
    <mergeCell ref="A66:A67"/>
    <mergeCell ref="D113:F113"/>
    <mergeCell ref="A96:A97"/>
    <mergeCell ref="A99:A100"/>
    <mergeCell ref="A87:A88"/>
    <mergeCell ref="A101:A102"/>
    <mergeCell ref="A93:A94"/>
    <mergeCell ref="A24:A25"/>
    <mergeCell ref="A27:A28"/>
    <mergeCell ref="A15:A16"/>
    <mergeCell ref="T6:T7"/>
    <mergeCell ref="A9:A10"/>
    <mergeCell ref="A12:A13"/>
    <mergeCell ref="B6:B7"/>
    <mergeCell ref="C6:C7"/>
    <mergeCell ref="N6:N7"/>
    <mergeCell ref="J6:J7"/>
    <mergeCell ref="A18:A19"/>
    <mergeCell ref="A21:A22"/>
    <mergeCell ref="A6:A7"/>
    <mergeCell ref="H6:H7"/>
    <mergeCell ref="D6:D7"/>
    <mergeCell ref="E6:E7"/>
    <mergeCell ref="A39:A40"/>
    <mergeCell ref="A30:A31"/>
    <mergeCell ref="A33:A34"/>
    <mergeCell ref="A42:A43"/>
    <mergeCell ref="A45:A46"/>
    <mergeCell ref="A36:A37"/>
    <mergeCell ref="BR6:BR7"/>
    <mergeCell ref="BG6:BG7"/>
    <mergeCell ref="BH6:BH7"/>
    <mergeCell ref="BI6:BI7"/>
    <mergeCell ref="AK6:AK7"/>
    <mergeCell ref="BN6:BN7"/>
    <mergeCell ref="AR6:AR7"/>
    <mergeCell ref="BM6:BM7"/>
    <mergeCell ref="BF6:BF7"/>
    <mergeCell ref="BL6:BL7"/>
    <mergeCell ref="BK6:BK7"/>
    <mergeCell ref="BA6:BA7"/>
    <mergeCell ref="BD6:BD7"/>
    <mergeCell ref="BE6:BE7"/>
    <mergeCell ref="AU6:AU7"/>
    <mergeCell ref="S6:S7"/>
    <mergeCell ref="BC6:BC7"/>
    <mergeCell ref="AA6:AA7"/>
    <mergeCell ref="AT6:AT7"/>
    <mergeCell ref="AG6:AH6"/>
    <mergeCell ref="AN6:AN7"/>
    <mergeCell ref="AQ6:AQ7"/>
    <mergeCell ref="AD6:AE6"/>
    <mergeCell ref="U6:U7"/>
    <mergeCell ref="V6:V7"/>
    <mergeCell ref="W6:W7"/>
    <mergeCell ref="AV6:AV7"/>
    <mergeCell ref="AW6:AW7"/>
    <mergeCell ref="K6:K7"/>
    <mergeCell ref="L6:L7"/>
    <mergeCell ref="F6:F7"/>
    <mergeCell ref="M6:M7"/>
    <mergeCell ref="I6:I7"/>
    <mergeCell ref="G6:G7"/>
    <mergeCell ref="O6:O7"/>
    <mergeCell ref="AX6:AX7"/>
    <mergeCell ref="BJ6:BJ7"/>
    <mergeCell ref="P6:P7"/>
    <mergeCell ref="Q6:Q7"/>
    <mergeCell ref="AS6:AS7"/>
    <mergeCell ref="R6:R7"/>
    <mergeCell ref="AC6:AC7"/>
    <mergeCell ref="AF6:AF7"/>
    <mergeCell ref="AP6:AP7"/>
    <mergeCell ref="AI6:AI7"/>
    <mergeCell ref="Z6:Z7"/>
    <mergeCell ref="AB6:AB7"/>
    <mergeCell ref="X6:X7"/>
    <mergeCell ref="AL6:AL7"/>
    <mergeCell ref="AM6:AM7"/>
  </mergeCells>
  <phoneticPr fontId="0" type="noConversion"/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AF3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Z31" sqref="Z31"/>
    </sheetView>
  </sheetViews>
  <sheetFormatPr defaultRowHeight="15"/>
  <cols>
    <col min="1" max="1" width="22.5703125" bestFit="1" customWidth="1"/>
    <col min="11" max="11" width="10" customWidth="1"/>
    <col min="12" max="12" width="10.140625" customWidth="1"/>
    <col min="13" max="13" width="9.5703125" customWidth="1"/>
    <col min="14" max="14" width="11.28515625" customWidth="1"/>
    <col min="15" max="15" width="11.42578125" customWidth="1"/>
  </cols>
  <sheetData>
    <row r="2" spans="1:32">
      <c r="B2" s="60">
        <f>'SALES SUMMARY'!A9</f>
        <v>43160</v>
      </c>
      <c r="C2" s="60">
        <f>'SALES SUMMARY'!A12</f>
        <v>43161</v>
      </c>
      <c r="D2" s="60">
        <f>'SALES SUMMARY'!A15</f>
        <v>43162</v>
      </c>
      <c r="E2" s="60">
        <f>'SALES SUMMARY'!A18</f>
        <v>43163</v>
      </c>
      <c r="F2" s="60">
        <f>'SALES SUMMARY'!A21</f>
        <v>43164</v>
      </c>
      <c r="G2" s="60">
        <f>'SALES SUMMARY'!A24</f>
        <v>43165</v>
      </c>
      <c r="H2" s="60">
        <f>'SALES SUMMARY'!A27</f>
        <v>43166</v>
      </c>
      <c r="I2" s="60">
        <f>'SALES SUMMARY'!A30</f>
        <v>43167</v>
      </c>
      <c r="J2" s="60">
        <f>'SALES SUMMARY'!A33</f>
        <v>43168</v>
      </c>
      <c r="K2" s="60">
        <f>'SALES SUMMARY'!A36</f>
        <v>43169</v>
      </c>
      <c r="L2" s="60">
        <f>'SALES SUMMARY'!A39</f>
        <v>43170</v>
      </c>
      <c r="M2" s="60">
        <f>'SALES SUMMARY'!A42</f>
        <v>43171</v>
      </c>
      <c r="N2" s="60">
        <f>'SALES SUMMARY'!A45</f>
        <v>43172</v>
      </c>
      <c r="O2" s="60">
        <f>'SALES SUMMARY'!A48</f>
        <v>43173</v>
      </c>
      <c r="P2" s="60">
        <f>'SALES SUMMARY'!A51</f>
        <v>43174</v>
      </c>
      <c r="Q2" s="60">
        <f>'SALES SUMMARY'!A54</f>
        <v>43175</v>
      </c>
      <c r="R2" s="60">
        <f>'SALES SUMMARY'!A57</f>
        <v>43176</v>
      </c>
      <c r="S2" s="60">
        <f>'SALES SUMMARY'!A60</f>
        <v>43177</v>
      </c>
      <c r="T2" s="60">
        <f>'SALES SUMMARY'!A63</f>
        <v>43178</v>
      </c>
      <c r="U2" s="60">
        <f>'SALES SUMMARY'!A66</f>
        <v>43179</v>
      </c>
      <c r="V2" s="60">
        <f>'SALES SUMMARY'!A69</f>
        <v>43180</v>
      </c>
      <c r="W2" s="60">
        <f>'SALES SUMMARY'!A72</f>
        <v>43181</v>
      </c>
      <c r="X2" s="60">
        <f>'SALES SUMMARY'!A75</f>
        <v>43182</v>
      </c>
      <c r="Y2" s="60">
        <f>'SALES SUMMARY'!A78</f>
        <v>43183</v>
      </c>
      <c r="Z2" s="60">
        <f>'SALES SUMMARY'!A81</f>
        <v>43184</v>
      </c>
      <c r="AA2" s="60">
        <f>'SALES SUMMARY'!A84</f>
        <v>43185</v>
      </c>
      <c r="AB2" s="60">
        <f>'SALES SUMMARY'!A87</f>
        <v>43186</v>
      </c>
      <c r="AC2" s="60">
        <f>'SALES SUMMARY'!A90</f>
        <v>43187</v>
      </c>
      <c r="AD2" s="60">
        <f>'SALES SUMMARY'!A93</f>
        <v>43188</v>
      </c>
      <c r="AE2" s="60">
        <f>'SALES SUMMARY'!A96</f>
        <v>43189</v>
      </c>
      <c r="AF2" s="60">
        <f>'SALES SUMMARY'!A99</f>
        <v>43190</v>
      </c>
    </row>
    <row r="3" spans="1:32">
      <c r="A3" s="59" t="s">
        <v>6</v>
      </c>
      <c r="B3" s="61">
        <f>'SALES SUMMARY'!E11</f>
        <v>0</v>
      </c>
      <c r="C3" s="61">
        <f>'SALES SUMMARY'!E14</f>
        <v>19845</v>
      </c>
      <c r="D3" s="61">
        <f>'SALES SUMMARY'!E17</f>
        <v>21585</v>
      </c>
      <c r="E3" s="61">
        <f>'SALES SUMMARY'!E20</f>
        <v>21413</v>
      </c>
      <c r="F3" s="61">
        <f>'SALES SUMMARY'!E23</f>
        <v>24408</v>
      </c>
      <c r="G3" s="61">
        <f>'SALES SUMMARY'!E26</f>
        <v>47710</v>
      </c>
      <c r="H3" s="61">
        <f>'SALES SUMMARY'!E29</f>
        <v>34683</v>
      </c>
      <c r="I3" s="61">
        <f>'SALES SUMMARY'!E32</f>
        <v>0</v>
      </c>
      <c r="J3" s="61">
        <f>'SALES SUMMARY'!E35</f>
        <v>0</v>
      </c>
      <c r="K3" s="61">
        <f>'SALES SUMMARY'!E38</f>
        <v>22757</v>
      </c>
      <c r="L3" s="61">
        <f>'SALES SUMMARY'!E41</f>
        <v>18209</v>
      </c>
      <c r="M3" s="61">
        <f>'SALES SUMMARY'!E44</f>
        <v>29767</v>
      </c>
      <c r="N3" s="61">
        <f>'SALES SUMMARY'!E47</f>
        <v>40180</v>
      </c>
      <c r="O3" s="61">
        <f>'SALES SUMMARY'!E50</f>
        <v>6175</v>
      </c>
      <c r="P3" s="61">
        <f>'SALES SUMMARY'!E53</f>
        <v>0</v>
      </c>
      <c r="Q3" s="61">
        <f>'SALES SUMMARY'!E56</f>
        <v>36552</v>
      </c>
      <c r="R3" s="61">
        <f>'SALES SUMMARY'!E59</f>
        <v>24740</v>
      </c>
      <c r="S3" s="61">
        <f>'SALES SUMMARY'!E62</f>
        <v>39397</v>
      </c>
      <c r="T3" s="61">
        <f>'SALES SUMMARY'!E65</f>
        <v>26926</v>
      </c>
      <c r="U3" s="61">
        <f>'SALES SUMMARY'!E68</f>
        <v>39648</v>
      </c>
      <c r="V3" s="61">
        <f>'SALES SUMMARY'!E71</f>
        <v>2727</v>
      </c>
      <c r="W3" s="61">
        <f>'SALES SUMMARY'!E74</f>
        <v>0</v>
      </c>
      <c r="X3" s="61">
        <f>'SALES SUMMARY'!E77</f>
        <v>17976</v>
      </c>
      <c r="Y3" s="61">
        <f>'SALES SUMMARY'!E80</f>
        <v>27180</v>
      </c>
      <c r="Z3" s="61">
        <f>'SALES SUMMARY'!E83</f>
        <v>24993</v>
      </c>
      <c r="AA3" s="61">
        <f>'SALES SUMMARY'!E86</f>
        <v>21465</v>
      </c>
      <c r="AB3" s="61">
        <f>'SALES SUMMARY'!E89</f>
        <v>39666</v>
      </c>
      <c r="AC3" s="61">
        <f>'SALES SUMMARY'!E92</f>
        <v>5622</v>
      </c>
      <c r="AD3" s="61">
        <f>'SALES SUMMARY'!E95</f>
        <v>0</v>
      </c>
      <c r="AE3" s="61">
        <f>'SALES SUMMARY'!E98</f>
        <v>16530</v>
      </c>
      <c r="AF3" s="61">
        <f>'SALES SUMMARY'!E102</f>
        <v>0</v>
      </c>
    </row>
    <row r="4" spans="1:32">
      <c r="A4" s="59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</row>
    <row r="5" spans="1:32">
      <c r="A5" s="59" t="s">
        <v>8</v>
      </c>
      <c r="B5" s="61">
        <f>-'SALES SUMMARY'!G11</f>
        <v>0</v>
      </c>
      <c r="C5" s="61">
        <f>-'SALES SUMMARY'!G14</f>
        <v>0</v>
      </c>
      <c r="D5" s="61">
        <f>-'SALES SUMMARY'!G17</f>
        <v>0</v>
      </c>
      <c r="E5" s="61">
        <f>-'SALES SUMMARY'!G20</f>
        <v>-0.93000000000029104</v>
      </c>
      <c r="F5" s="61">
        <f>-'SALES SUMMARY'!G23</f>
        <v>0</v>
      </c>
      <c r="G5" s="61">
        <f>-'SALES SUMMARY'!G26</f>
        <v>0</v>
      </c>
      <c r="H5" s="61">
        <f>-'SALES SUMMARY'!G29</f>
        <v>0</v>
      </c>
      <c r="I5" s="61">
        <f>-'SALES SUMMARY'!G32</f>
        <v>0</v>
      </c>
      <c r="J5" s="61">
        <f>-'SALES SUMMARY'!G35</f>
        <v>0</v>
      </c>
      <c r="K5" s="61">
        <f>-'SALES SUMMARY'!G38</f>
        <v>0</v>
      </c>
      <c r="L5" s="61">
        <f>-'SALES SUMMARY'!G41</f>
        <v>0</v>
      </c>
      <c r="M5" s="61">
        <f>-'SALES SUMMARY'!G44</f>
        <v>0</v>
      </c>
      <c r="N5" s="61">
        <f>-'SALES SUMMARY'!G47</f>
        <v>0</v>
      </c>
      <c r="O5" s="61">
        <f>-'SALES SUMMARY'!G50</f>
        <v>0</v>
      </c>
      <c r="P5" s="61">
        <f>-'SALES SUMMARY'!G53</f>
        <v>0</v>
      </c>
      <c r="Q5" s="61">
        <f>-'SALES SUMMARY'!G56</f>
        <v>0</v>
      </c>
      <c r="R5" s="61">
        <f>-'SALES SUMMARY'!G59</f>
        <v>0</v>
      </c>
      <c r="S5" s="61">
        <f>-'SALES SUMMARY'!G62</f>
        <v>0</v>
      </c>
      <c r="T5" s="61">
        <f>-'SALES SUMMARY'!G65</f>
        <v>0</v>
      </c>
      <c r="U5" s="61">
        <f>-'SALES SUMMARY'!G68</f>
        <v>0</v>
      </c>
      <c r="V5" s="61">
        <f>-'SALES SUMMARY'!G71</f>
        <v>0</v>
      </c>
      <c r="W5" s="61">
        <f>-'SALES SUMMARY'!G74</f>
        <v>0</v>
      </c>
      <c r="X5" s="61">
        <f>-'SALES SUMMARY'!G77</f>
        <v>0</v>
      </c>
      <c r="Y5" s="61">
        <f>-'SALES SUMMARY'!G80</f>
        <v>0</v>
      </c>
      <c r="Z5" s="61">
        <f>-'SALES SUMMARY'!G83</f>
        <v>0</v>
      </c>
      <c r="AA5" s="61">
        <f>-'SALES SUMMARY'!G86</f>
        <v>0</v>
      </c>
      <c r="AB5" s="61">
        <f>-'SALES SUMMARY'!G89</f>
        <v>-0.34000000000014552</v>
      </c>
      <c r="AC5" s="61">
        <f>-'SALES SUMMARY'!G92</f>
        <v>0</v>
      </c>
      <c r="AD5" s="61">
        <f>-'SALES SUMMARY'!G95</f>
        <v>0</v>
      </c>
      <c r="AE5" s="61">
        <f>-'SALES SUMMARY'!G98</f>
        <v>-3.6100000000005821</v>
      </c>
      <c r="AF5" s="61">
        <f>-'SALES SUMMARY'!G102</f>
        <v>0</v>
      </c>
    </row>
    <row r="6" spans="1:32">
      <c r="A6" s="59" t="s">
        <v>9</v>
      </c>
      <c r="B6" s="61">
        <f>'SALES SUMMARY'!H11</f>
        <v>0</v>
      </c>
      <c r="C6" s="61">
        <f>'SALES SUMMARY'!H14</f>
        <v>7.0899999999983265</v>
      </c>
      <c r="D6" s="61">
        <f>'SALES SUMMARY'!H17</f>
        <v>1.9099999999998545</v>
      </c>
      <c r="E6" s="61">
        <f>'SALES SUMMARY'!H20</f>
        <v>1.3999999999996362</v>
      </c>
      <c r="F6" s="61">
        <f>'SALES SUMMARY'!H23</f>
        <v>1.8100000000013097</v>
      </c>
      <c r="G6" s="61">
        <f>'SALES SUMMARY'!H26</f>
        <v>5</v>
      </c>
      <c r="H6" s="61">
        <f>'SALES SUMMARY'!H29</f>
        <v>0.13999999999941792</v>
      </c>
      <c r="I6" s="61">
        <f>'SALES SUMMARY'!H32</f>
        <v>0</v>
      </c>
      <c r="J6" s="61">
        <f>'SALES SUMMARY'!H35</f>
        <v>0</v>
      </c>
      <c r="K6" s="61">
        <f>'SALES SUMMARY'!H38</f>
        <v>5.3700000000008004</v>
      </c>
      <c r="L6" s="61">
        <f>'SALES SUMMARY'!H41</f>
        <v>4.0499999999992724</v>
      </c>
      <c r="M6" s="61">
        <f>'SALES SUMMARY'!H44</f>
        <v>3.6100000000005821</v>
      </c>
      <c r="N6" s="61">
        <f>'SALES SUMMARY'!H47</f>
        <v>5.0099999999983993</v>
      </c>
      <c r="O6" s="61">
        <f>'SALES SUMMARY'!H50</f>
        <v>1.6300000000001091</v>
      </c>
      <c r="P6" s="61">
        <f>'SALES SUMMARY'!H53</f>
        <v>0</v>
      </c>
      <c r="Q6" s="61">
        <f>'SALES SUMMARY'!H56</f>
        <v>7.6200000000008004</v>
      </c>
      <c r="R6" s="61">
        <f>'SALES SUMMARY'!H59</f>
        <v>3.9900000000016007</v>
      </c>
      <c r="S6" s="61">
        <f>'SALES SUMMARY'!H62</f>
        <v>2.1199999999989814</v>
      </c>
      <c r="T6" s="61">
        <f>'SALES SUMMARY'!H65</f>
        <v>11.760000000000218</v>
      </c>
      <c r="U6" s="61">
        <f>'SALES SUMMARY'!H68</f>
        <v>0.68000000000029104</v>
      </c>
      <c r="V6" s="61">
        <f>'SALES SUMMARY'!H71</f>
        <v>0.51999999999998181</v>
      </c>
      <c r="W6" s="61">
        <f>'SALES SUMMARY'!H74</f>
        <v>0</v>
      </c>
      <c r="X6" s="61">
        <f>'SALES SUMMARY'!H77</f>
        <v>3.1200000000008004</v>
      </c>
      <c r="Y6" s="61">
        <f>'SALES SUMMARY'!H80</f>
        <v>10.469999999999345</v>
      </c>
      <c r="Z6" s="61">
        <f>'SALES SUMMARY'!H83</f>
        <v>1.2000000000007276</v>
      </c>
      <c r="AA6" s="61">
        <f>'SALES SUMMARY'!H86</f>
        <v>4.569999999999709</v>
      </c>
      <c r="AB6" s="61">
        <f>'SALES SUMMARY'!H89</f>
        <v>4.1399999999994179</v>
      </c>
      <c r="AC6" s="61">
        <f>'SALES SUMMARY'!H92</f>
        <v>1.2899999999999636</v>
      </c>
      <c r="AD6" s="61">
        <f>'SALES SUMMARY'!H95</f>
        <v>0</v>
      </c>
      <c r="AE6" s="61">
        <f>'SALES SUMMARY'!H98</f>
        <v>2.6899999999995998</v>
      </c>
      <c r="AF6" s="61">
        <f>'SALES SUMMARY'!H102</f>
        <v>0</v>
      </c>
    </row>
    <row r="7" spans="1:32">
      <c r="A7" s="59" t="s">
        <v>10</v>
      </c>
      <c r="B7" s="61">
        <f>-'SALES SUMMARY'!I11</f>
        <v>0</v>
      </c>
      <c r="C7" s="61">
        <f>-'SALES SUMMARY'!I14</f>
        <v>0</v>
      </c>
      <c r="D7" s="61">
        <f>-'SALES SUMMARY'!I17</f>
        <v>0</v>
      </c>
      <c r="E7" s="61">
        <f>-'SALES SUMMARY'!I20</f>
        <v>0</v>
      </c>
      <c r="F7" s="61">
        <f>-'SALES SUMMARY'!I23</f>
        <v>0</v>
      </c>
      <c r="G7" s="61">
        <f>-'SALES SUMMARY'!I26</f>
        <v>0</v>
      </c>
      <c r="H7" s="61">
        <f>-'SALES SUMMARY'!I29</f>
        <v>0</v>
      </c>
      <c r="I7" s="61">
        <f>-'SALES SUMMARY'!I32</f>
        <v>0</v>
      </c>
      <c r="J7" s="61">
        <f>-'SALES SUMMARY'!I35</f>
        <v>0</v>
      </c>
      <c r="K7" s="61">
        <f>-'SALES SUMMARY'!I38</f>
        <v>0</v>
      </c>
      <c r="L7" s="61">
        <f>-'SALES SUMMARY'!I41</f>
        <v>0</v>
      </c>
      <c r="M7" s="61">
        <f>-'SALES SUMMARY'!I44</f>
        <v>0</v>
      </c>
      <c r="N7" s="61">
        <f>-'SALES SUMMARY'!I47</f>
        <v>0</v>
      </c>
      <c r="O7" s="61">
        <f>-'SALES SUMMARY'!I50</f>
        <v>0</v>
      </c>
      <c r="P7" s="61">
        <f>-'SALES SUMMARY'!I53</f>
        <v>0</v>
      </c>
      <c r="Q7" s="61">
        <f>-'SALES SUMMARY'!I56</f>
        <v>0</v>
      </c>
      <c r="R7" s="61">
        <f>-'SALES SUMMARY'!I59</f>
        <v>0</v>
      </c>
      <c r="S7" s="61">
        <f>-'SALES SUMMARY'!I62</f>
        <v>0</v>
      </c>
      <c r="T7" s="61">
        <f>-'SALES SUMMARY'!I65</f>
        <v>0</v>
      </c>
      <c r="U7" s="61">
        <f>-'SALES SUMMARY'!I68</f>
        <v>0</v>
      </c>
      <c r="V7" s="61">
        <f>-'SALES SUMMARY'!I71</f>
        <v>0</v>
      </c>
      <c r="W7" s="61">
        <f>-'SALES SUMMARY'!I74</f>
        <v>0</v>
      </c>
      <c r="X7" s="61">
        <f>-'SALES SUMMARY'!I77</f>
        <v>0</v>
      </c>
      <c r="Y7" s="61">
        <f>-'SALES SUMMARY'!I80</f>
        <v>0</v>
      </c>
      <c r="Z7" s="61">
        <f>-'SALES SUMMARY'!I83</f>
        <v>0</v>
      </c>
      <c r="AA7" s="61">
        <f>-'SALES SUMMARY'!I86</f>
        <v>0</v>
      </c>
      <c r="AB7" s="61">
        <f>-'SALES SUMMARY'!I89</f>
        <v>0</v>
      </c>
      <c r="AC7" s="61">
        <f>-'SALES SUMMARY'!I92</f>
        <v>0</v>
      </c>
      <c r="AD7" s="61">
        <f>-'SALES SUMMARY'!I95</f>
        <v>0</v>
      </c>
      <c r="AE7" s="61">
        <f>-'SALES SUMMARY'!I98</f>
        <v>0</v>
      </c>
      <c r="AF7" s="61">
        <f>-'SALES SUMMARY'!I102</f>
        <v>0</v>
      </c>
    </row>
    <row r="8" spans="1:32">
      <c r="A8" s="59" t="s">
        <v>11</v>
      </c>
      <c r="B8" s="61">
        <f>-'SALES SUMMARY'!J11</f>
        <v>0</v>
      </c>
      <c r="C8" s="61">
        <f>-'SALES SUMMARY'!J14</f>
        <v>0</v>
      </c>
      <c r="D8" s="61">
        <f>-'SALES SUMMARY'!J17</f>
        <v>0</v>
      </c>
      <c r="E8" s="61">
        <f>-'SALES SUMMARY'!J20</f>
        <v>0</v>
      </c>
      <c r="F8" s="61">
        <f>-'SALES SUMMARY'!J23</f>
        <v>0</v>
      </c>
      <c r="G8" s="61">
        <f>-'SALES SUMMARY'!J26</f>
        <v>0</v>
      </c>
      <c r="H8" s="61">
        <f>-'SALES SUMMARY'!J29</f>
        <v>0</v>
      </c>
      <c r="I8" s="61">
        <f>-'SALES SUMMARY'!J32</f>
        <v>0</v>
      </c>
      <c r="J8" s="61">
        <f>-'SALES SUMMARY'!J35</f>
        <v>0</v>
      </c>
      <c r="K8" s="61">
        <f>-'SALES SUMMARY'!J38</f>
        <v>0</v>
      </c>
      <c r="L8" s="61">
        <f>-'SALES SUMMARY'!J41</f>
        <v>0</v>
      </c>
      <c r="M8" s="61">
        <f>-'SALES SUMMARY'!J44</f>
        <v>0</v>
      </c>
      <c r="N8" s="61">
        <f>-'SALES SUMMARY'!J47</f>
        <v>0</v>
      </c>
      <c r="O8" s="61">
        <f>-'SALES SUMMARY'!J50</f>
        <v>0</v>
      </c>
      <c r="P8" s="61">
        <f>-'SALES SUMMARY'!J53</f>
        <v>0</v>
      </c>
      <c r="Q8" s="61">
        <f>-'SALES SUMMARY'!J56</f>
        <v>0</v>
      </c>
      <c r="R8" s="61">
        <f>-'SALES SUMMARY'!J59</f>
        <v>0</v>
      </c>
      <c r="S8" s="61">
        <f>-'SALES SUMMARY'!J62</f>
        <v>0</v>
      </c>
      <c r="T8" s="61">
        <f>-'SALES SUMMARY'!J65</f>
        <v>0</v>
      </c>
      <c r="U8" s="61">
        <f>-'SALES SUMMARY'!J68</f>
        <v>0</v>
      </c>
      <c r="V8" s="61">
        <f>-'SALES SUMMARY'!J71</f>
        <v>0</v>
      </c>
      <c r="W8" s="61">
        <f>-'SALES SUMMARY'!J74</f>
        <v>0</v>
      </c>
      <c r="X8" s="61">
        <f>-'SALES SUMMARY'!J77</f>
        <v>0</v>
      </c>
      <c r="Y8" s="61">
        <f>-'SALES SUMMARY'!J80</f>
        <v>0</v>
      </c>
      <c r="Z8" s="61">
        <f>-'SALES SUMMARY'!J83</f>
        <v>0</v>
      </c>
      <c r="AA8" s="61">
        <f>-'SALES SUMMARY'!J86</f>
        <v>0</v>
      </c>
      <c r="AB8" s="61">
        <f>-'SALES SUMMARY'!J89</f>
        <v>0</v>
      </c>
      <c r="AC8" s="61">
        <f>-'SALES SUMMARY'!J92</f>
        <v>0</v>
      </c>
      <c r="AD8" s="61">
        <f>-'SALES SUMMARY'!J95</f>
        <v>0</v>
      </c>
      <c r="AE8" s="61">
        <f>-'SALES SUMMARY'!J98</f>
        <v>0</v>
      </c>
      <c r="AF8" s="61">
        <f>-'SALES SUMMARY'!J102</f>
        <v>0</v>
      </c>
    </row>
    <row r="9" spans="1:32">
      <c r="A9" s="59" t="s">
        <v>14</v>
      </c>
      <c r="B9" s="61">
        <f>-'SALES SUMMARY'!M11</f>
        <v>0</v>
      </c>
      <c r="C9" s="61">
        <f>-'SALES SUMMARY'!M14</f>
        <v>-77.870204999999984</v>
      </c>
      <c r="D9" s="61">
        <f>-'SALES SUMMARY'!M17</f>
        <v>-96.574989999999985</v>
      </c>
      <c r="E9" s="61">
        <f>-'SALES SUMMARY'!M20</f>
        <v>-121.76503499999998</v>
      </c>
      <c r="F9" s="61">
        <f>-'SALES SUMMARY'!M23</f>
        <v>-234.11822999999998</v>
      </c>
      <c r="G9" s="61">
        <f>-'SALES SUMMARY'!M26</f>
        <v>-212.41613000000001</v>
      </c>
      <c r="H9" s="61">
        <f>-'SALES SUMMARY'!M29</f>
        <v>0</v>
      </c>
      <c r="I9" s="61">
        <f>-'SALES SUMMARY'!M32</f>
        <v>0</v>
      </c>
      <c r="J9" s="61">
        <f>-'SALES SUMMARY'!M35</f>
        <v>0</v>
      </c>
      <c r="K9" s="61">
        <f>-'SALES SUMMARY'!M38</f>
        <v>-194.03190999999998</v>
      </c>
      <c r="L9" s="61">
        <f>-'SALES SUMMARY'!M41</f>
        <v>-291.94269499999996</v>
      </c>
      <c r="M9" s="61">
        <f>-'SALES SUMMARY'!M44</f>
        <v>-160.04987</v>
      </c>
      <c r="N9" s="61">
        <f>-'SALES SUMMARY'!M47</f>
        <v>-767.93656999999985</v>
      </c>
      <c r="O9" s="61">
        <f>-'SALES SUMMARY'!M50</f>
        <v>-68.830529999999996</v>
      </c>
      <c r="P9" s="61">
        <f>-'SALES SUMMARY'!M53</f>
        <v>0</v>
      </c>
      <c r="Q9" s="61">
        <f>-'SALES SUMMARY'!M56</f>
        <v>-279.86485499999998</v>
      </c>
      <c r="R9" s="61">
        <f>-'SALES SUMMARY'!M59</f>
        <v>-220.46594499999998</v>
      </c>
      <c r="S9" s="61">
        <f>-'SALES SUMMARY'!M62</f>
        <v>-144.81539999999998</v>
      </c>
      <c r="T9" s="61">
        <f>-'SALES SUMMARY'!M65</f>
        <v>-314.66496999999993</v>
      </c>
      <c r="U9" s="61">
        <f>-'SALES SUMMARY'!M68</f>
        <v>-276.91376499999996</v>
      </c>
      <c r="V9" s="61">
        <f>-'SALES SUMMARY'!M71</f>
        <v>-17.737499999999997</v>
      </c>
      <c r="W9" s="61">
        <f>-'SALES SUMMARY'!M74</f>
        <v>0</v>
      </c>
      <c r="X9" s="61">
        <f>-'SALES SUMMARY'!M77</f>
        <v>-149.66924</v>
      </c>
      <c r="Y9" s="61">
        <f>-'SALES SUMMARY'!M80</f>
        <v>-197.47277</v>
      </c>
      <c r="Z9" s="61">
        <f>-'SALES SUMMARY'!M83</f>
        <v>-178.86903499999997</v>
      </c>
      <c r="AA9" s="61">
        <f>-'SALES SUMMARY'!M86</f>
        <v>-248.91388499999996</v>
      </c>
      <c r="AB9" s="61">
        <f>-'SALES SUMMARY'!M89</f>
        <v>-244.89187999999996</v>
      </c>
      <c r="AC9" s="61">
        <f>-'SALES SUMMARY'!M92</f>
        <v>-80.212199999999996</v>
      </c>
      <c r="AD9" s="61">
        <f>-'SALES SUMMARY'!M95</f>
        <v>0</v>
      </c>
      <c r="AE9" s="61">
        <f>-'SALES SUMMARY'!M98</f>
        <v>-193.68339499999999</v>
      </c>
      <c r="AF9" s="61">
        <f>-'SALES SUMMARY'!M102</f>
        <v>0</v>
      </c>
    </row>
    <row r="10" spans="1:32">
      <c r="A10" s="59" t="s">
        <v>15</v>
      </c>
      <c r="B10" s="61">
        <f>-'SALES SUMMARY'!N11</f>
        <v>0</v>
      </c>
      <c r="C10" s="61">
        <f>-'SALES SUMMARY'!N14</f>
        <v>-18.109349999999999</v>
      </c>
      <c r="D10" s="61">
        <f>-'SALES SUMMARY'!N17</f>
        <v>-22.459299999999999</v>
      </c>
      <c r="E10" s="61">
        <f>-'SALES SUMMARY'!N20</f>
        <v>-28.317450000000001</v>
      </c>
      <c r="F10" s="61">
        <f>-'SALES SUMMARY'!N23</f>
        <v>-54.446100000000001</v>
      </c>
      <c r="G10" s="61">
        <f>-'SALES SUMMARY'!N26</f>
        <v>-49.399100000000004</v>
      </c>
      <c r="H10" s="61">
        <f>-'SALES SUMMARY'!N29</f>
        <v>0</v>
      </c>
      <c r="I10" s="61">
        <f>-'SALES SUMMARY'!N32</f>
        <v>0</v>
      </c>
      <c r="J10" s="61">
        <f>-'SALES SUMMARY'!N35</f>
        <v>0</v>
      </c>
      <c r="K10" s="61">
        <f>-'SALES SUMMARY'!N38</f>
        <v>-45.123699999999999</v>
      </c>
      <c r="L10" s="61">
        <f>-'SALES SUMMARY'!N41</f>
        <v>-67.893650000000008</v>
      </c>
      <c r="M10" s="61">
        <f>-'SALES SUMMARY'!N44</f>
        <v>-37.2209</v>
      </c>
      <c r="N10" s="61">
        <f>-'SALES SUMMARY'!N47</f>
        <v>-178.5899</v>
      </c>
      <c r="O10" s="61">
        <f>-'SALES SUMMARY'!N50</f>
        <v>-16.007100000000001</v>
      </c>
      <c r="P10" s="61">
        <f>-'SALES SUMMARY'!N53</f>
        <v>0</v>
      </c>
      <c r="Q10" s="61">
        <f>-'SALES SUMMARY'!N56</f>
        <v>-65.084850000000003</v>
      </c>
      <c r="R10" s="61">
        <f>-'SALES SUMMARY'!N59</f>
        <v>-51.271150000000006</v>
      </c>
      <c r="S10" s="61">
        <f>-'SALES SUMMARY'!N62</f>
        <v>-33.677999999999997</v>
      </c>
      <c r="T10" s="61">
        <f>-'SALES SUMMARY'!N65</f>
        <v>-73.177899999999994</v>
      </c>
      <c r="U10" s="61">
        <f>-'SALES SUMMARY'!N68</f>
        <v>-64.39855</v>
      </c>
      <c r="V10" s="61">
        <f>-'SALES SUMMARY'!N71</f>
        <v>-4.125</v>
      </c>
      <c r="W10" s="61">
        <f>-'SALES SUMMARY'!N74</f>
        <v>0</v>
      </c>
      <c r="X10" s="61">
        <f>-'SALES SUMMARY'!N77</f>
        <v>-34.806799999999996</v>
      </c>
      <c r="Y10" s="61">
        <f>-'SALES SUMMARY'!N80</f>
        <v>-45.92390000000001</v>
      </c>
      <c r="Z10" s="61">
        <f>-'SALES SUMMARY'!N83</f>
        <v>-41.597450000000002</v>
      </c>
      <c r="AA10" s="61">
        <f>-'SALES SUMMARY'!N86</f>
        <v>-57.886949999999999</v>
      </c>
      <c r="AB10" s="61">
        <f>-'SALES SUMMARY'!N89</f>
        <v>-56.951599999999999</v>
      </c>
      <c r="AC10" s="61">
        <f>-'SALES SUMMARY'!N92</f>
        <v>-18.654</v>
      </c>
      <c r="AD10" s="61">
        <f>-'SALES SUMMARY'!N95</f>
        <v>0</v>
      </c>
      <c r="AE10" s="61">
        <f>-'SALES SUMMARY'!N98</f>
        <v>-45.042650000000002</v>
      </c>
      <c r="AF10" s="61">
        <f>-'SALES SUMMARY'!N102</f>
        <v>0</v>
      </c>
    </row>
    <row r="11" spans="1:32">
      <c r="A11" s="59" t="s">
        <v>16</v>
      </c>
      <c r="B11" s="61">
        <f>-'SALES SUMMARY'!O11</f>
        <v>0</v>
      </c>
      <c r="C11" s="61">
        <f>-'SALES SUMMARY'!O14</f>
        <v>-3525.8904449999995</v>
      </c>
      <c r="D11" s="61">
        <f>-'SALES SUMMARY'!O17</f>
        <v>-4372.8257099999992</v>
      </c>
      <c r="E11" s="61">
        <f>-'SALES SUMMARY'!O20</f>
        <v>-5513.4075149999999</v>
      </c>
      <c r="F11" s="61">
        <f>-'SALES SUMMARY'!O23</f>
        <v>-10600.65567</v>
      </c>
      <c r="G11" s="61">
        <f>-'SALES SUMMARY'!O26</f>
        <v>-9618.0047700000014</v>
      </c>
      <c r="H11" s="61">
        <f>-'SALES SUMMARY'!O29</f>
        <v>0</v>
      </c>
      <c r="I11" s="61">
        <f>-'SALES SUMMARY'!O32</f>
        <v>0</v>
      </c>
      <c r="J11" s="61">
        <f>-'SALES SUMMARY'!O35</f>
        <v>0</v>
      </c>
      <c r="K11" s="61">
        <f>-'SALES SUMMARY'!O38</f>
        <v>-8785.58439</v>
      </c>
      <c r="L11" s="61">
        <f>-'SALES SUMMARY'!O41</f>
        <v>-13218.893655</v>
      </c>
      <c r="M11" s="61">
        <f>-'SALES SUMMARY'!O44</f>
        <v>-7246.9092300000002</v>
      </c>
      <c r="N11" s="61">
        <f>-'SALES SUMMARY'!O47</f>
        <v>-34771.453529999999</v>
      </c>
      <c r="O11" s="61">
        <f>-'SALES SUMMARY'!O50</f>
        <v>-3116.5823700000001</v>
      </c>
      <c r="P11" s="61">
        <f>-'SALES SUMMARY'!O53</f>
        <v>0</v>
      </c>
      <c r="Q11" s="61">
        <f>-'SALES SUMMARY'!O56</f>
        <v>-12672.020295</v>
      </c>
      <c r="R11" s="61">
        <f>-'SALES SUMMARY'!O59</f>
        <v>-9982.4929049999992</v>
      </c>
      <c r="S11" s="61">
        <f>-'SALES SUMMARY'!O62</f>
        <v>-6557.1065999999992</v>
      </c>
      <c r="T11" s="61">
        <f>-'SALES SUMMARY'!O65</f>
        <v>-14247.73713</v>
      </c>
      <c r="U11" s="61">
        <f>-'SALES SUMMARY'!O68</f>
        <v>-12538.397685</v>
      </c>
      <c r="V11" s="61">
        <f>-'SALES SUMMARY'!O71</f>
        <v>-803.13750000000005</v>
      </c>
      <c r="W11" s="61">
        <f>-'SALES SUMMARY'!O74</f>
        <v>0</v>
      </c>
      <c r="X11" s="61">
        <f>-'SALES SUMMARY'!O77</f>
        <v>-6776.8839599999992</v>
      </c>
      <c r="Y11" s="61">
        <f>-'SALES SUMMARY'!O80</f>
        <v>-8941.3833299999988</v>
      </c>
      <c r="Z11" s="61">
        <f>-'SALES SUMMARY'!O83</f>
        <v>-8099.023514999999</v>
      </c>
      <c r="AA11" s="61">
        <f>-'SALES SUMMARY'!O86</f>
        <v>-11270.589164999999</v>
      </c>
      <c r="AB11" s="61">
        <f>-'SALES SUMMARY'!O89</f>
        <v>-11088.47652</v>
      </c>
      <c r="AC11" s="61">
        <f>-'SALES SUMMARY'!O92</f>
        <v>-3631.9338000000002</v>
      </c>
      <c r="AD11" s="61">
        <f>-'SALES SUMMARY'!O95</f>
        <v>0</v>
      </c>
      <c r="AE11" s="61">
        <f>-'SALES SUMMARY'!O98</f>
        <v>-8769.8039549999994</v>
      </c>
      <c r="AF11" s="61">
        <f>-'SALES SUMMARY'!O102</f>
        <v>0</v>
      </c>
    </row>
    <row r="12" spans="1:32">
      <c r="A12" s="59" t="s">
        <v>17</v>
      </c>
      <c r="B12" s="61">
        <f>'SALES SUMMARY'!P11</f>
        <v>0</v>
      </c>
      <c r="C12" s="61">
        <f>'SALES SUMMARY'!P14</f>
        <v>0</v>
      </c>
      <c r="D12" s="61">
        <f>'SALES SUMMARY'!P17</f>
        <v>0</v>
      </c>
      <c r="E12" s="61">
        <f>'SALES SUMMARY'!P20</f>
        <v>0</v>
      </c>
      <c r="F12" s="61">
        <f>'SALES SUMMARY'!P23</f>
        <v>0</v>
      </c>
      <c r="G12" s="61">
        <f>'SALES SUMMARY'!P26</f>
        <v>0</v>
      </c>
      <c r="H12" s="61">
        <f>'SALES SUMMARY'!P29</f>
        <v>0</v>
      </c>
      <c r="I12" s="61">
        <f>'SALES SUMMARY'!P32</f>
        <v>0</v>
      </c>
      <c r="J12" s="61">
        <f>'SALES SUMMARY'!P35</f>
        <v>0</v>
      </c>
      <c r="K12" s="61">
        <f>'SALES SUMMARY'!P38</f>
        <v>0</v>
      </c>
      <c r="L12" s="61">
        <f>'SALES SUMMARY'!P41</f>
        <v>0</v>
      </c>
      <c r="M12" s="61">
        <f>'SALES SUMMARY'!P44</f>
        <v>0</v>
      </c>
      <c r="N12" s="61">
        <f>'SALES SUMMARY'!P47</f>
        <v>0</v>
      </c>
      <c r="O12" s="61">
        <f>'SALES SUMMARY'!P50</f>
        <v>0</v>
      </c>
      <c r="P12" s="61">
        <f>'SALES SUMMARY'!P53</f>
        <v>0</v>
      </c>
      <c r="Q12" s="61">
        <f>'SALES SUMMARY'!P56</f>
        <v>0</v>
      </c>
      <c r="R12" s="61">
        <f>'SALES SUMMARY'!P59</f>
        <v>0</v>
      </c>
      <c r="S12" s="61">
        <f>'SALES SUMMARY'!P62</f>
        <v>0</v>
      </c>
      <c r="T12" s="61">
        <f>'SALES SUMMARY'!P65</f>
        <v>0</v>
      </c>
      <c r="U12" s="61">
        <f>'SALES SUMMARY'!P68</f>
        <v>0</v>
      </c>
      <c r="V12" s="61">
        <f>'SALES SUMMARY'!P71</f>
        <v>0</v>
      </c>
      <c r="W12" s="61">
        <f>'SALES SUMMARY'!P74</f>
        <v>0</v>
      </c>
      <c r="X12" s="61">
        <f>'SALES SUMMARY'!P77</f>
        <v>0</v>
      </c>
      <c r="Y12" s="61">
        <f>'SALES SUMMARY'!P80</f>
        <v>0</v>
      </c>
      <c r="Z12" s="61">
        <f>'SALES SUMMARY'!P83</f>
        <v>0</v>
      </c>
      <c r="AA12" s="61">
        <f>'SALES SUMMARY'!P86</f>
        <v>0</v>
      </c>
      <c r="AB12" s="61">
        <f>'SALES SUMMARY'!P89</f>
        <v>0</v>
      </c>
      <c r="AC12" s="61">
        <f>'SALES SUMMARY'!P92</f>
        <v>0</v>
      </c>
      <c r="AD12" s="61">
        <f>'SALES SUMMARY'!P95</f>
        <v>0</v>
      </c>
      <c r="AE12" s="61">
        <f>'SALES SUMMARY'!P98</f>
        <v>0</v>
      </c>
      <c r="AF12" s="61">
        <f>'SALES SUMMARY'!P102</f>
        <v>0</v>
      </c>
    </row>
    <row r="13" spans="1:32">
      <c r="A13" s="59" t="s">
        <v>20</v>
      </c>
      <c r="B13" s="61">
        <f>-'SALES SUMMARY'!T11</f>
        <v>0</v>
      </c>
      <c r="C13" s="61">
        <f>-'SALES SUMMARY'!T14</f>
        <v>0</v>
      </c>
      <c r="D13" s="61">
        <f>-'SALES SUMMARY'!T17</f>
        <v>0</v>
      </c>
      <c r="E13" s="61">
        <f>-'SALES SUMMARY'!T20</f>
        <v>0</v>
      </c>
      <c r="F13" s="61">
        <f>-'SALES SUMMARY'!T23</f>
        <v>0</v>
      </c>
      <c r="G13" s="61">
        <f>-'SALES SUMMARY'!T26</f>
        <v>0</v>
      </c>
      <c r="H13" s="61">
        <f>-'SALES SUMMARY'!T29</f>
        <v>0</v>
      </c>
      <c r="I13" s="61">
        <f>-'SALES SUMMARY'!T32</f>
        <v>0</v>
      </c>
      <c r="J13" s="61">
        <f>-'SALES SUMMARY'!T35</f>
        <v>0</v>
      </c>
      <c r="K13" s="61">
        <f>-'SALES SUMMARY'!T38</f>
        <v>0</v>
      </c>
      <c r="L13" s="61">
        <f>-'SALES SUMMARY'!T41</f>
        <v>0</v>
      </c>
      <c r="M13" s="61">
        <f>-'SALES SUMMARY'!T44</f>
        <v>0</v>
      </c>
      <c r="N13" s="61">
        <f>-'SALES SUMMARY'!T47</f>
        <v>0</v>
      </c>
      <c r="O13" s="61">
        <f>-'SALES SUMMARY'!T50</f>
        <v>0</v>
      </c>
      <c r="P13" s="61">
        <f>-'SALES SUMMARY'!T53</f>
        <v>0</v>
      </c>
      <c r="Q13" s="61">
        <f>-'SALES SUMMARY'!T56</f>
        <v>0</v>
      </c>
      <c r="R13" s="61">
        <f>-'SALES SUMMARY'!T59</f>
        <v>0</v>
      </c>
      <c r="S13" s="61">
        <f>-'SALES SUMMARY'!T62</f>
        <v>0</v>
      </c>
      <c r="T13" s="61">
        <f>-'SALES SUMMARY'!T65</f>
        <v>0</v>
      </c>
      <c r="U13" s="61">
        <f>-'SALES SUMMARY'!T68</f>
        <v>0</v>
      </c>
      <c r="V13" s="61">
        <f>-'SALES SUMMARY'!T71</f>
        <v>0</v>
      </c>
      <c r="W13" s="61">
        <f>-'SALES SUMMARY'!T74</f>
        <v>0</v>
      </c>
      <c r="X13" s="61">
        <f>-'SALES SUMMARY'!T77</f>
        <v>0</v>
      </c>
      <c r="Y13" s="61">
        <f>-'SALES SUMMARY'!T80</f>
        <v>0</v>
      </c>
      <c r="Z13" s="61">
        <f>-'SALES SUMMARY'!T83</f>
        <v>0</v>
      </c>
      <c r="AA13" s="61">
        <f>-'SALES SUMMARY'!T86</f>
        <v>0</v>
      </c>
      <c r="AB13" s="61">
        <f>-'SALES SUMMARY'!T89</f>
        <v>0</v>
      </c>
      <c r="AC13" s="61">
        <f>-'SALES SUMMARY'!T92</f>
        <v>0</v>
      </c>
      <c r="AD13" s="61">
        <f>-'SALES SUMMARY'!T95</f>
        <v>0</v>
      </c>
      <c r="AE13" s="61">
        <f>-'SALES SUMMARY'!T98</f>
        <v>0</v>
      </c>
      <c r="AF13" s="61">
        <f>-'SALES SUMMARY'!T102</f>
        <v>0</v>
      </c>
    </row>
    <row r="14" spans="1:32">
      <c r="A14" s="59" t="s">
        <v>21</v>
      </c>
      <c r="B14" s="61">
        <f>-'SALES SUMMARY'!U11</f>
        <v>0</v>
      </c>
      <c r="C14" s="61">
        <f>-'SALES SUMMARY'!U14</f>
        <v>0</v>
      </c>
      <c r="D14" s="61">
        <f>-'SALES SUMMARY'!U17</f>
        <v>0</v>
      </c>
      <c r="E14" s="61">
        <f>-'SALES SUMMARY'!U20</f>
        <v>0</v>
      </c>
      <c r="F14" s="61">
        <f>-'SALES SUMMARY'!U23</f>
        <v>0</v>
      </c>
      <c r="G14" s="61">
        <f>-'SALES SUMMARY'!U26</f>
        <v>0</v>
      </c>
      <c r="H14" s="61">
        <f>-'SALES SUMMARY'!U29</f>
        <v>0</v>
      </c>
      <c r="I14" s="61">
        <f>-'SALES SUMMARY'!U32</f>
        <v>0</v>
      </c>
      <c r="J14" s="61">
        <f>-'SALES SUMMARY'!U35</f>
        <v>0</v>
      </c>
      <c r="K14" s="61">
        <f>-'SALES SUMMARY'!U38</f>
        <v>0</v>
      </c>
      <c r="L14" s="61">
        <f>-'SALES SUMMARY'!U41</f>
        <v>0</v>
      </c>
      <c r="M14" s="61">
        <f>-'SALES SUMMARY'!U44</f>
        <v>0</v>
      </c>
      <c r="N14" s="61">
        <f>-'SALES SUMMARY'!U47</f>
        <v>0</v>
      </c>
      <c r="O14" s="61">
        <f>-'SALES SUMMARY'!U50</f>
        <v>0</v>
      </c>
      <c r="P14" s="61">
        <f>-'SALES SUMMARY'!U53</f>
        <v>0</v>
      </c>
      <c r="Q14" s="61">
        <f>-'SALES SUMMARY'!U56</f>
        <v>0</v>
      </c>
      <c r="R14" s="61">
        <f>-'SALES SUMMARY'!U59</f>
        <v>0</v>
      </c>
      <c r="S14" s="61">
        <f>-'SALES SUMMARY'!U62</f>
        <v>0</v>
      </c>
      <c r="T14" s="61">
        <f>-'SALES SUMMARY'!U65</f>
        <v>0</v>
      </c>
      <c r="U14" s="61">
        <f>-'SALES SUMMARY'!U68</f>
        <v>0</v>
      </c>
      <c r="V14" s="61">
        <f>-'SALES SUMMARY'!U71</f>
        <v>0</v>
      </c>
      <c r="W14" s="61">
        <f>-'SALES SUMMARY'!U74</f>
        <v>0</v>
      </c>
      <c r="X14" s="61">
        <f>-'SALES SUMMARY'!U77</f>
        <v>0</v>
      </c>
      <c r="Y14" s="61">
        <f>-'SALES SUMMARY'!U80</f>
        <v>0</v>
      </c>
      <c r="Z14" s="61">
        <f>-'SALES SUMMARY'!U83</f>
        <v>0</v>
      </c>
      <c r="AA14" s="61">
        <f>-'SALES SUMMARY'!U86</f>
        <v>0</v>
      </c>
      <c r="AB14" s="61">
        <f>-'SALES SUMMARY'!U89</f>
        <v>0</v>
      </c>
      <c r="AC14" s="61">
        <f>-'SALES SUMMARY'!U92</f>
        <v>0</v>
      </c>
      <c r="AD14" s="61">
        <f>-'SALES SUMMARY'!U95</f>
        <v>0</v>
      </c>
      <c r="AE14" s="61">
        <f>-'SALES SUMMARY'!U98</f>
        <v>0</v>
      </c>
      <c r="AF14" s="61">
        <f>-'SALES SUMMARY'!U102</f>
        <v>0</v>
      </c>
    </row>
    <row r="15" spans="1:32">
      <c r="A15" s="59" t="s">
        <v>22</v>
      </c>
      <c r="B15" s="61">
        <f>-'SALES SUMMARY'!V11</f>
        <v>0</v>
      </c>
      <c r="C15" s="61">
        <f>-'SALES SUMMARY'!V14</f>
        <v>0</v>
      </c>
      <c r="D15" s="61">
        <f>-'SALES SUMMARY'!V17</f>
        <v>0</v>
      </c>
      <c r="E15" s="61">
        <f>-'SALES SUMMARY'!V20</f>
        <v>0</v>
      </c>
      <c r="F15" s="61">
        <f>-'SALES SUMMARY'!V23</f>
        <v>0</v>
      </c>
      <c r="G15" s="61">
        <f>-'SALES SUMMARY'!V26</f>
        <v>0</v>
      </c>
      <c r="H15" s="61">
        <f>-'SALES SUMMARY'!V29</f>
        <v>0</v>
      </c>
      <c r="I15" s="61">
        <f>-'SALES SUMMARY'!V32</f>
        <v>0</v>
      </c>
      <c r="J15" s="61">
        <f>-'SALES SUMMARY'!V35</f>
        <v>0</v>
      </c>
      <c r="K15" s="61">
        <f>-'SALES SUMMARY'!V38</f>
        <v>0</v>
      </c>
      <c r="L15" s="61">
        <f>-'SALES SUMMARY'!V41</f>
        <v>0</v>
      </c>
      <c r="M15" s="61">
        <f>-'SALES SUMMARY'!V44</f>
        <v>0</v>
      </c>
      <c r="N15" s="61">
        <f>-'SALES SUMMARY'!V47</f>
        <v>0</v>
      </c>
      <c r="O15" s="61">
        <f>-'SALES SUMMARY'!V50</f>
        <v>0</v>
      </c>
      <c r="P15" s="61">
        <f>-'SALES SUMMARY'!V53</f>
        <v>0</v>
      </c>
      <c r="Q15" s="61">
        <f>-'SALES SUMMARY'!V56</f>
        <v>0</v>
      </c>
      <c r="R15" s="61">
        <f>-'SALES SUMMARY'!V59</f>
        <v>0</v>
      </c>
      <c r="S15" s="61">
        <f>-'SALES SUMMARY'!V62</f>
        <v>0</v>
      </c>
      <c r="T15" s="61">
        <f>-'SALES SUMMARY'!V65</f>
        <v>0</v>
      </c>
      <c r="U15" s="61">
        <f>-'SALES SUMMARY'!V68</f>
        <v>0</v>
      </c>
      <c r="V15" s="61">
        <f>-'SALES SUMMARY'!V71</f>
        <v>0</v>
      </c>
      <c r="W15" s="61">
        <f>-'SALES SUMMARY'!V74</f>
        <v>0</v>
      </c>
      <c r="X15" s="61">
        <f>-'SALES SUMMARY'!V77</f>
        <v>0</v>
      </c>
      <c r="Y15" s="61">
        <f>-'SALES SUMMARY'!V80</f>
        <v>0</v>
      </c>
      <c r="Z15" s="61">
        <f>-'SALES SUMMARY'!V83</f>
        <v>0</v>
      </c>
      <c r="AA15" s="61">
        <f>-'SALES SUMMARY'!V86</f>
        <v>0</v>
      </c>
      <c r="AB15" s="61">
        <f>-'SALES SUMMARY'!V89</f>
        <v>0</v>
      </c>
      <c r="AC15" s="61">
        <f>-'SALES SUMMARY'!V92</f>
        <v>0</v>
      </c>
      <c r="AD15" s="61">
        <f>-'SALES SUMMARY'!V95</f>
        <v>0</v>
      </c>
      <c r="AE15" s="61">
        <f>-'SALES SUMMARY'!V98</f>
        <v>0</v>
      </c>
      <c r="AF15" s="61">
        <f>-'SALES SUMMARY'!V102</f>
        <v>0</v>
      </c>
    </row>
    <row r="16" spans="1:32">
      <c r="A16" s="59" t="s">
        <v>47</v>
      </c>
      <c r="B16" s="61">
        <f>'SALES SUMMARY'!W11</f>
        <v>0</v>
      </c>
      <c r="C16" s="61">
        <f>'SALES SUMMARY'!W14</f>
        <v>0</v>
      </c>
      <c r="D16" s="61">
        <f>'SALES SUMMARY'!W17</f>
        <v>0</v>
      </c>
      <c r="E16" s="61">
        <f>'SALES SUMMARY'!W20</f>
        <v>0</v>
      </c>
      <c r="F16" s="61">
        <f>'SALES SUMMARY'!W23</f>
        <v>0</v>
      </c>
      <c r="G16" s="61">
        <f>'SALES SUMMARY'!W26</f>
        <v>0</v>
      </c>
      <c r="H16" s="61">
        <f>'SALES SUMMARY'!W29</f>
        <v>0</v>
      </c>
      <c r="I16" s="61">
        <f>'SALES SUMMARY'!W32</f>
        <v>0</v>
      </c>
      <c r="J16" s="61">
        <f>'SALES SUMMARY'!W35</f>
        <v>0</v>
      </c>
      <c r="K16" s="61">
        <f>'SALES SUMMARY'!W38</f>
        <v>0</v>
      </c>
      <c r="L16" s="61">
        <f>'SALES SUMMARY'!W41</f>
        <v>0</v>
      </c>
      <c r="M16" s="61">
        <f>'SALES SUMMARY'!W44</f>
        <v>0</v>
      </c>
      <c r="N16" s="61">
        <f>'SALES SUMMARY'!W47</f>
        <v>0</v>
      </c>
      <c r="O16" s="61">
        <f>'SALES SUMMARY'!W50</f>
        <v>0</v>
      </c>
      <c r="P16" s="61">
        <f>'SALES SUMMARY'!W53</f>
        <v>0</v>
      </c>
      <c r="Q16" s="61">
        <f>'SALES SUMMARY'!W56</f>
        <v>0</v>
      </c>
      <c r="R16" s="61">
        <f>'SALES SUMMARY'!W59</f>
        <v>0</v>
      </c>
      <c r="S16" s="61">
        <f>'SALES SUMMARY'!W62</f>
        <v>0</v>
      </c>
      <c r="T16" s="61">
        <f>'SALES SUMMARY'!W65</f>
        <v>0</v>
      </c>
      <c r="U16" s="61">
        <f>'SALES SUMMARY'!W68</f>
        <v>0</v>
      </c>
      <c r="V16" s="61">
        <f>'SALES SUMMARY'!W71</f>
        <v>0</v>
      </c>
      <c r="W16" s="61">
        <f>'SALES SUMMARY'!W74</f>
        <v>0</v>
      </c>
      <c r="X16" s="61">
        <f>'SALES SUMMARY'!W77</f>
        <v>0</v>
      </c>
      <c r="Y16" s="61">
        <f>'SALES SUMMARY'!W80</f>
        <v>0</v>
      </c>
      <c r="Z16" s="61">
        <f>'SALES SUMMARY'!W83</f>
        <v>0</v>
      </c>
      <c r="AA16" s="61">
        <f>'SALES SUMMARY'!W86</f>
        <v>0</v>
      </c>
      <c r="AB16" s="61">
        <f>'SALES SUMMARY'!W89</f>
        <v>0</v>
      </c>
      <c r="AC16" s="61">
        <f>'SALES SUMMARY'!W92</f>
        <v>0</v>
      </c>
      <c r="AD16" s="61">
        <f>'SALES SUMMARY'!W95</f>
        <v>0</v>
      </c>
      <c r="AE16" s="61">
        <f>'SALES SUMMARY'!W98</f>
        <v>0</v>
      </c>
      <c r="AF16" s="61">
        <f>'SALES SUMMARY'!W102</f>
        <v>0</v>
      </c>
    </row>
    <row r="17" spans="1:32">
      <c r="A17" s="59" t="s">
        <v>37</v>
      </c>
      <c r="B17" s="61">
        <f>-'SALES SUMMARY'!Y11</f>
        <v>0</v>
      </c>
      <c r="C17" s="61">
        <f>-'SALES SUMMARY'!Y14</f>
        <v>0</v>
      </c>
      <c r="D17" s="61">
        <f>-'SALES SUMMARY'!Y17</f>
        <v>0</v>
      </c>
      <c r="E17" s="61">
        <f>-'SALES SUMMARY'!Y20</f>
        <v>0</v>
      </c>
      <c r="F17" s="61">
        <f>-'SALES SUMMARY'!Y23</f>
        <v>0</v>
      </c>
      <c r="G17" s="61">
        <f>-'SALES SUMMARY'!Y26</f>
        <v>0</v>
      </c>
      <c r="H17" s="61">
        <f>-'SALES SUMMARY'!Y29</f>
        <v>0</v>
      </c>
      <c r="I17" s="61">
        <f>-'SALES SUMMARY'!Y32</f>
        <v>0</v>
      </c>
      <c r="J17" s="61">
        <f>-'SALES SUMMARY'!Y35</f>
        <v>0</v>
      </c>
      <c r="K17" s="61">
        <f>-'SALES SUMMARY'!Y38</f>
        <v>0</v>
      </c>
      <c r="L17" s="61">
        <f>-'SALES SUMMARY'!Y41</f>
        <v>0</v>
      </c>
      <c r="M17" s="61">
        <f>-'SALES SUMMARY'!Y44</f>
        <v>0</v>
      </c>
      <c r="N17" s="61">
        <f>-'SALES SUMMARY'!Y47</f>
        <v>0</v>
      </c>
      <c r="O17" s="61">
        <f>-'SALES SUMMARY'!Y50</f>
        <v>0</v>
      </c>
      <c r="P17" s="61">
        <f>-'SALES SUMMARY'!Y53</f>
        <v>0</v>
      </c>
      <c r="Q17" s="61">
        <f>-'SALES SUMMARY'!Y56</f>
        <v>0</v>
      </c>
      <c r="R17" s="61">
        <f>-'SALES SUMMARY'!Y59</f>
        <v>0</v>
      </c>
      <c r="S17" s="61">
        <f>-'SALES SUMMARY'!Y62</f>
        <v>0</v>
      </c>
      <c r="T17" s="61">
        <f>-'SALES SUMMARY'!Y65</f>
        <v>0</v>
      </c>
      <c r="U17" s="61">
        <f>-'SALES SUMMARY'!Y68</f>
        <v>0</v>
      </c>
      <c r="V17" s="61">
        <f>-'SALES SUMMARY'!Y71</f>
        <v>0</v>
      </c>
      <c r="W17" s="61">
        <f>-'SALES SUMMARY'!Y74</f>
        <v>0</v>
      </c>
      <c r="X17" s="61">
        <f>-'SALES SUMMARY'!Y77</f>
        <v>0</v>
      </c>
      <c r="Y17" s="61">
        <f>-'SALES SUMMARY'!Y80</f>
        <v>0</v>
      </c>
      <c r="Z17" s="61">
        <f>-'SALES SUMMARY'!Y83</f>
        <v>0</v>
      </c>
      <c r="AA17" s="61">
        <f>-'SALES SUMMARY'!Y86</f>
        <v>0</v>
      </c>
      <c r="AB17" s="61">
        <f>-'SALES SUMMARY'!Y89</f>
        <v>0</v>
      </c>
      <c r="AC17" s="61">
        <f>-'SALES SUMMARY'!Y92</f>
        <v>0</v>
      </c>
      <c r="AD17" s="61">
        <f>-'SALES SUMMARY'!Y95</f>
        <v>0</v>
      </c>
      <c r="AE17" s="61">
        <f>-'SALES SUMMARY'!Y98</f>
        <v>0</v>
      </c>
      <c r="AF17" s="61">
        <f>-'SALES SUMMARY'!Y102</f>
        <v>0</v>
      </c>
    </row>
    <row r="18" spans="1:32">
      <c r="A18" s="59" t="s">
        <v>48</v>
      </c>
      <c r="B18" s="61">
        <f>-'SALES SUMMARY'!Z11</f>
        <v>0</v>
      </c>
      <c r="C18" s="61">
        <f>-'SALES SUMMARY'!Z14</f>
        <v>0</v>
      </c>
      <c r="D18" s="61">
        <f>-'SALES SUMMARY'!Z17</f>
        <v>0</v>
      </c>
      <c r="E18" s="61">
        <f>-'SALES SUMMARY'!Z20</f>
        <v>0</v>
      </c>
      <c r="F18" s="61">
        <f>-'SALES SUMMARY'!Z23</f>
        <v>0</v>
      </c>
      <c r="G18" s="61">
        <f>-'SALES SUMMARY'!Z26</f>
        <v>0</v>
      </c>
      <c r="H18" s="61">
        <f>-'SALES SUMMARY'!Z29</f>
        <v>0</v>
      </c>
      <c r="I18" s="61">
        <f>-'SALES SUMMARY'!Z32</f>
        <v>0</v>
      </c>
      <c r="J18" s="61">
        <f>-'SALES SUMMARY'!Z35</f>
        <v>0</v>
      </c>
      <c r="K18" s="61">
        <f>-'SALES SUMMARY'!Z38</f>
        <v>0</v>
      </c>
      <c r="L18" s="61">
        <f>-'SALES SUMMARY'!Z41</f>
        <v>0</v>
      </c>
      <c r="M18" s="61">
        <f>-'SALES SUMMARY'!Z44</f>
        <v>0</v>
      </c>
      <c r="N18" s="61">
        <f>-'SALES SUMMARY'!Z47</f>
        <v>0</v>
      </c>
      <c r="O18" s="61">
        <f>-'SALES SUMMARY'!Z50</f>
        <v>0</v>
      </c>
      <c r="P18" s="61">
        <f>-'SALES SUMMARY'!Z53</f>
        <v>0</v>
      </c>
      <c r="Q18" s="61">
        <f>-'SALES SUMMARY'!Z56</f>
        <v>0</v>
      </c>
      <c r="R18" s="61">
        <f>-'SALES SUMMARY'!Z59</f>
        <v>0</v>
      </c>
      <c r="S18" s="61">
        <f>-'SALES SUMMARY'!Z62</f>
        <v>0</v>
      </c>
      <c r="T18" s="61">
        <f>-'SALES SUMMARY'!Z65</f>
        <v>0</v>
      </c>
      <c r="U18" s="61">
        <f>-'SALES SUMMARY'!Z68</f>
        <v>0</v>
      </c>
      <c r="V18" s="61">
        <f>-'SALES SUMMARY'!Z71</f>
        <v>0</v>
      </c>
      <c r="W18" s="61">
        <f>-'SALES SUMMARY'!Z74</f>
        <v>0</v>
      </c>
      <c r="X18" s="61">
        <f>-'SALES SUMMARY'!Z77</f>
        <v>0</v>
      </c>
      <c r="Y18" s="61">
        <f>-'SALES SUMMARY'!Z80</f>
        <v>0</v>
      </c>
      <c r="Z18" s="61">
        <f>-'SALES SUMMARY'!Z83</f>
        <v>0</v>
      </c>
      <c r="AA18" s="61">
        <f>-'SALES SUMMARY'!Z86</f>
        <v>0</v>
      </c>
      <c r="AB18" s="61">
        <f>-'SALES SUMMARY'!Z89</f>
        <v>0</v>
      </c>
      <c r="AC18" s="61">
        <f>-'SALES SUMMARY'!Z92</f>
        <v>0</v>
      </c>
      <c r="AD18" s="61">
        <f>-'SALES SUMMARY'!Z95</f>
        <v>0</v>
      </c>
      <c r="AE18" s="61">
        <f>-'SALES SUMMARY'!Z98</f>
        <v>0</v>
      </c>
      <c r="AF18" s="61">
        <f>-'SALES SUMMARY'!Z102</f>
        <v>0</v>
      </c>
    </row>
    <row r="19" spans="1:32">
      <c r="A19" s="59" t="s">
        <v>49</v>
      </c>
      <c r="B19" s="61">
        <f>-'SALES SUMMARY'!AA11</f>
        <v>0</v>
      </c>
      <c r="C19" s="61">
        <f>-'SALES SUMMARY'!AA14</f>
        <v>0</v>
      </c>
      <c r="D19" s="61">
        <f>-'SALES SUMMARY'!AA17</f>
        <v>0</v>
      </c>
      <c r="E19" s="61">
        <f>-'SALES SUMMARY'!AA20</f>
        <v>0</v>
      </c>
      <c r="F19" s="61">
        <f>-'SALES SUMMARY'!AA23</f>
        <v>0</v>
      </c>
      <c r="G19" s="61">
        <f>-'SALES SUMMARY'!AA26</f>
        <v>0</v>
      </c>
      <c r="H19" s="61">
        <f>-'SALES SUMMARY'!AA29</f>
        <v>0</v>
      </c>
      <c r="I19" s="61">
        <f>-'SALES SUMMARY'!AA32</f>
        <v>0</v>
      </c>
      <c r="J19" s="61">
        <f>-'SALES SUMMARY'!AA35</f>
        <v>0</v>
      </c>
      <c r="K19" s="61">
        <f>-'SALES SUMMARY'!AA38</f>
        <v>0</v>
      </c>
      <c r="L19" s="61">
        <f>-'SALES SUMMARY'!AA41</f>
        <v>0</v>
      </c>
      <c r="M19" s="61">
        <f>-'SALES SUMMARY'!AA44</f>
        <v>0</v>
      </c>
      <c r="N19" s="61">
        <f>-'SALES SUMMARY'!AA47</f>
        <v>0</v>
      </c>
      <c r="O19" s="61">
        <f>-'SALES SUMMARY'!AA50</f>
        <v>0</v>
      </c>
      <c r="P19" s="61">
        <f>-'SALES SUMMARY'!AA53</f>
        <v>0</v>
      </c>
      <c r="Q19" s="61">
        <f>-'SALES SUMMARY'!AA56</f>
        <v>0</v>
      </c>
      <c r="R19" s="61">
        <f>-'SALES SUMMARY'!AA59</f>
        <v>0</v>
      </c>
      <c r="S19" s="61">
        <f>-'SALES SUMMARY'!AA62</f>
        <v>0</v>
      </c>
      <c r="T19" s="61">
        <f>-'SALES SUMMARY'!AA65</f>
        <v>0</v>
      </c>
      <c r="U19" s="61">
        <f>-'SALES SUMMARY'!AA68</f>
        <v>0</v>
      </c>
      <c r="V19" s="61">
        <f>-'SALES SUMMARY'!AA71</f>
        <v>0</v>
      </c>
      <c r="W19" s="61">
        <f>-'SALES SUMMARY'!AA74</f>
        <v>0</v>
      </c>
      <c r="X19" s="61">
        <f>-'SALES SUMMARY'!AA77</f>
        <v>0</v>
      </c>
      <c r="Y19" s="61">
        <f>-'SALES SUMMARY'!AA80</f>
        <v>0</v>
      </c>
      <c r="Z19" s="61">
        <f>-'SALES SUMMARY'!AA83</f>
        <v>0</v>
      </c>
      <c r="AA19" s="61">
        <f>-'SALES SUMMARY'!AA86</f>
        <v>0</v>
      </c>
      <c r="AB19" s="61">
        <f>-'SALES SUMMARY'!AA89</f>
        <v>0</v>
      </c>
      <c r="AC19" s="61">
        <f>-'SALES SUMMARY'!AA92</f>
        <v>0</v>
      </c>
      <c r="AD19" s="61">
        <f>-'SALES SUMMARY'!AA95</f>
        <v>0</v>
      </c>
      <c r="AE19" s="61">
        <f>-'SALES SUMMARY'!AA98</f>
        <v>0</v>
      </c>
      <c r="AF19" s="61">
        <f>-'SALES SUMMARY'!AA102</f>
        <v>0</v>
      </c>
    </row>
    <row r="20" spans="1:32">
      <c r="A20" s="59" t="s">
        <v>50</v>
      </c>
      <c r="B20" s="61">
        <f>-'SALES SUMMARY'!AB11</f>
        <v>0</v>
      </c>
      <c r="C20" s="61">
        <f>-'SALES SUMMARY'!AB14</f>
        <v>0</v>
      </c>
      <c r="D20" s="61">
        <f>-'SALES SUMMARY'!AB17</f>
        <v>0</v>
      </c>
      <c r="E20" s="61">
        <f>-'SALES SUMMARY'!AB20</f>
        <v>0</v>
      </c>
      <c r="F20" s="61">
        <f>-'SALES SUMMARY'!AB23</f>
        <v>0</v>
      </c>
      <c r="G20" s="61">
        <f>-'SALES SUMMARY'!AB26</f>
        <v>0</v>
      </c>
      <c r="H20" s="61">
        <f>-'SALES SUMMARY'!AB29</f>
        <v>0</v>
      </c>
      <c r="I20" s="61">
        <f>-'SALES SUMMARY'!AB32</f>
        <v>0</v>
      </c>
      <c r="J20" s="61">
        <f>-'SALES SUMMARY'!AB35</f>
        <v>0</v>
      </c>
      <c r="K20" s="61">
        <f>-'SALES SUMMARY'!AB38</f>
        <v>0</v>
      </c>
      <c r="L20" s="61">
        <f>-'SALES SUMMARY'!AB41</f>
        <v>0</v>
      </c>
      <c r="M20" s="61">
        <f>-'SALES SUMMARY'!AB44</f>
        <v>0</v>
      </c>
      <c r="N20" s="61">
        <f>-'SALES SUMMARY'!AB47</f>
        <v>0</v>
      </c>
      <c r="O20" s="61">
        <f>-'SALES SUMMARY'!AB50</f>
        <v>0</v>
      </c>
      <c r="P20" s="61">
        <f>-'SALES SUMMARY'!AB53</f>
        <v>0</v>
      </c>
      <c r="Q20" s="61">
        <f>-'SALES SUMMARY'!AB56</f>
        <v>0</v>
      </c>
      <c r="R20" s="61">
        <f>-'SALES SUMMARY'!AB59</f>
        <v>0</v>
      </c>
      <c r="S20" s="61">
        <f>-'SALES SUMMARY'!AB62</f>
        <v>0</v>
      </c>
      <c r="T20" s="61">
        <f>-'SALES SUMMARY'!AB65</f>
        <v>0</v>
      </c>
      <c r="U20" s="61">
        <f>-'SALES SUMMARY'!AB68</f>
        <v>0</v>
      </c>
      <c r="V20" s="61">
        <f>-'SALES SUMMARY'!AB71</f>
        <v>0</v>
      </c>
      <c r="W20" s="61">
        <f>-'SALES SUMMARY'!AB74</f>
        <v>0</v>
      </c>
      <c r="X20" s="61">
        <f>-'SALES SUMMARY'!AB77</f>
        <v>0</v>
      </c>
      <c r="Y20" s="61">
        <f>-'SALES SUMMARY'!AB80</f>
        <v>0</v>
      </c>
      <c r="Z20" s="61">
        <f>-'SALES SUMMARY'!AB83</f>
        <v>0</v>
      </c>
      <c r="AA20" s="61">
        <f>-'SALES SUMMARY'!AB86</f>
        <v>0</v>
      </c>
      <c r="AB20" s="61">
        <f>-'SALES SUMMARY'!AB89</f>
        <v>0</v>
      </c>
      <c r="AC20" s="61">
        <f>-'SALES SUMMARY'!AB92</f>
        <v>0</v>
      </c>
      <c r="AD20" s="61">
        <f>-'SALES SUMMARY'!AB95</f>
        <v>0</v>
      </c>
      <c r="AE20" s="61">
        <f>-'SALES SUMMARY'!AB98</f>
        <v>0</v>
      </c>
      <c r="AF20" s="61">
        <f>-'SALES SUMMARY'!AB102</f>
        <v>0</v>
      </c>
    </row>
    <row r="21" spans="1:32">
      <c r="A21" s="59" t="s">
        <v>51</v>
      </c>
      <c r="B21" s="61">
        <f>-'SALES SUMMARY'!AC11</f>
        <v>0</v>
      </c>
      <c r="C21" s="61">
        <f>-'SALES SUMMARY'!AC14</f>
        <v>0</v>
      </c>
      <c r="D21" s="61">
        <f>-'SALES SUMMARY'!AC17</f>
        <v>0</v>
      </c>
      <c r="E21" s="61">
        <f>-'SALES SUMMARY'!AC20</f>
        <v>0</v>
      </c>
      <c r="F21" s="61">
        <f>-'SALES SUMMARY'!AC23</f>
        <v>0</v>
      </c>
      <c r="G21" s="61">
        <f>-'SALES SUMMARY'!AC26</f>
        <v>0</v>
      </c>
      <c r="H21" s="61">
        <f>-'SALES SUMMARY'!AC29</f>
        <v>0</v>
      </c>
      <c r="I21" s="61">
        <f>-'SALES SUMMARY'!AC32</f>
        <v>0</v>
      </c>
      <c r="J21" s="61">
        <f>-'SALES SUMMARY'!AC35</f>
        <v>0</v>
      </c>
      <c r="K21" s="61">
        <f>-'SALES SUMMARY'!AC38</f>
        <v>0</v>
      </c>
      <c r="L21" s="61">
        <f>-'SALES SUMMARY'!AC41</f>
        <v>0</v>
      </c>
      <c r="M21" s="61">
        <f>-'SALES SUMMARY'!AC44</f>
        <v>0</v>
      </c>
      <c r="N21" s="61">
        <f>-'SALES SUMMARY'!AC47</f>
        <v>0</v>
      </c>
      <c r="O21" s="61">
        <f>-'SALES SUMMARY'!AC50</f>
        <v>0</v>
      </c>
      <c r="P21" s="61">
        <f>-'SALES SUMMARY'!AC53</f>
        <v>0</v>
      </c>
      <c r="Q21" s="61">
        <f>-'SALES SUMMARY'!AC56</f>
        <v>0</v>
      </c>
      <c r="R21" s="61">
        <f>-'SALES SUMMARY'!AC59</f>
        <v>0</v>
      </c>
      <c r="S21" s="61">
        <f>-'SALES SUMMARY'!AC62</f>
        <v>0</v>
      </c>
      <c r="T21" s="61">
        <f>-'SALES SUMMARY'!AC65</f>
        <v>0</v>
      </c>
      <c r="U21" s="61">
        <f>-'SALES SUMMARY'!AC68</f>
        <v>0</v>
      </c>
      <c r="V21" s="61">
        <f>-'SALES SUMMARY'!AC71</f>
        <v>0</v>
      </c>
      <c r="W21" s="61">
        <f>-'SALES SUMMARY'!AC74</f>
        <v>0</v>
      </c>
      <c r="X21" s="61">
        <f>-'SALES SUMMARY'!AC77</f>
        <v>0</v>
      </c>
      <c r="Y21" s="61">
        <f>-'SALES SUMMARY'!AC80</f>
        <v>0</v>
      </c>
      <c r="Z21" s="61">
        <f>-'SALES SUMMARY'!AC83</f>
        <v>0</v>
      </c>
      <c r="AA21" s="61">
        <f>-'SALES SUMMARY'!AC86</f>
        <v>0</v>
      </c>
      <c r="AB21" s="61">
        <f>-'SALES SUMMARY'!AC89</f>
        <v>0</v>
      </c>
      <c r="AC21" s="61">
        <f>-'SALES SUMMARY'!AC92</f>
        <v>0</v>
      </c>
      <c r="AD21" s="61">
        <f>-'SALES SUMMARY'!AC95</f>
        <v>0</v>
      </c>
      <c r="AE21" s="61">
        <f>-'SALES SUMMARY'!AC98</f>
        <v>0</v>
      </c>
      <c r="AF21" s="61">
        <f>-'SALES SUMMARY'!AC102</f>
        <v>0</v>
      </c>
    </row>
    <row r="22" spans="1:32">
      <c r="A22" s="59" t="s">
        <v>27</v>
      </c>
      <c r="B22" s="61">
        <f>-'SALES SUMMARY'!AE11</f>
        <v>0</v>
      </c>
      <c r="C22" s="61">
        <f>-'SALES SUMMARY'!AE14</f>
        <v>0</v>
      </c>
      <c r="D22" s="61">
        <f>-'SALES SUMMARY'!AE17</f>
        <v>0</v>
      </c>
      <c r="E22" s="61">
        <f>-'SALES SUMMARY'!AE20</f>
        <v>0</v>
      </c>
      <c r="F22" s="61">
        <f>-'SALES SUMMARY'!AE23</f>
        <v>0</v>
      </c>
      <c r="G22" s="61">
        <f>-'SALES SUMMARY'!AE26</f>
        <v>0</v>
      </c>
      <c r="H22" s="61">
        <f>-'SALES SUMMARY'!AE29</f>
        <v>0</v>
      </c>
      <c r="I22" s="61">
        <f>-'SALES SUMMARY'!AE32</f>
        <v>0</v>
      </c>
      <c r="J22" s="61">
        <f>-'SALES SUMMARY'!AE35</f>
        <v>0</v>
      </c>
      <c r="K22" s="61">
        <f>-'SALES SUMMARY'!AE38</f>
        <v>0</v>
      </c>
      <c r="L22" s="61">
        <f>-'SALES SUMMARY'!AE41</f>
        <v>0</v>
      </c>
      <c r="M22" s="61">
        <f>-'SALES SUMMARY'!AE44</f>
        <v>0</v>
      </c>
      <c r="N22" s="61">
        <f>-'SALES SUMMARY'!AE47</f>
        <v>0</v>
      </c>
      <c r="O22" s="61">
        <f>-'SALES SUMMARY'!AE50</f>
        <v>0</v>
      </c>
      <c r="P22" s="61">
        <f>-'SALES SUMMARY'!AE53</f>
        <v>0</v>
      </c>
      <c r="Q22" s="61">
        <f>-'SALES SUMMARY'!AE56</f>
        <v>0</v>
      </c>
      <c r="R22" s="61">
        <f>-'SALES SUMMARY'!AE59</f>
        <v>0</v>
      </c>
      <c r="S22" s="61">
        <f>-'SALES SUMMARY'!AE62</f>
        <v>0</v>
      </c>
      <c r="T22" s="61">
        <f>-'SALES SUMMARY'!AE65</f>
        <v>0</v>
      </c>
      <c r="U22" s="61">
        <f>-'SALES SUMMARY'!AE68</f>
        <v>0</v>
      </c>
      <c r="V22" s="61">
        <f>-'SALES SUMMARY'!AE71</f>
        <v>0</v>
      </c>
      <c r="W22" s="61">
        <f>-'SALES SUMMARY'!AE74</f>
        <v>0</v>
      </c>
      <c r="X22" s="61">
        <f>-'SALES SUMMARY'!AE77</f>
        <v>0</v>
      </c>
      <c r="Y22" s="61">
        <f>-'SALES SUMMARY'!AE80</f>
        <v>0</v>
      </c>
      <c r="Z22" s="61">
        <f>-'SALES SUMMARY'!AE83</f>
        <v>0</v>
      </c>
      <c r="AA22" s="61">
        <f>-'SALES SUMMARY'!AE86</f>
        <v>0</v>
      </c>
      <c r="AB22" s="61">
        <f>-'SALES SUMMARY'!AE89</f>
        <v>0</v>
      </c>
      <c r="AC22" s="61">
        <f>-'SALES SUMMARY'!AE92</f>
        <v>0</v>
      </c>
      <c r="AD22" s="61">
        <f>-'SALES SUMMARY'!AE95</f>
        <v>0</v>
      </c>
      <c r="AE22" s="61">
        <f>-'SALES SUMMARY'!AE98</f>
        <v>0</v>
      </c>
      <c r="AF22" s="61">
        <f>-'SALES SUMMARY'!AE102</f>
        <v>0</v>
      </c>
    </row>
    <row r="23" spans="1:32">
      <c r="A23" s="59" t="s">
        <v>52</v>
      </c>
      <c r="B23" s="61">
        <f>'SALES SUMMARY'!AG11</f>
        <v>0</v>
      </c>
      <c r="C23" s="61">
        <f>'SALES SUMMARY'!AG14</f>
        <v>1195.27</v>
      </c>
      <c r="D23" s="61">
        <f>'SALES SUMMARY'!AG17</f>
        <v>1376.3879999999999</v>
      </c>
      <c r="E23" s="61">
        <f>'SALES SUMMARY'!AG20</f>
        <v>1363.4135999999999</v>
      </c>
      <c r="F23" s="61">
        <f>'SALES SUMMARY'!AG23</f>
        <v>1879.7307999999998</v>
      </c>
      <c r="G23" s="61">
        <f>'SALES SUMMARY'!AG26</f>
        <v>3149.9027999999998</v>
      </c>
      <c r="H23" s="61">
        <f>'SALES SUMMARY'!AG29</f>
        <v>1933.1448</v>
      </c>
      <c r="I23" s="61">
        <f>'SALES SUMMARY'!AG32</f>
        <v>0</v>
      </c>
      <c r="J23" s="61">
        <f>'SALES SUMMARY'!AG35</f>
        <v>0</v>
      </c>
      <c r="K23" s="61">
        <f>'SALES SUMMARY'!AG38</f>
        <v>1547.578</v>
      </c>
      <c r="L23" s="61">
        <f>'SALES SUMMARY'!AG41</f>
        <v>1654.7391999999998</v>
      </c>
      <c r="M23" s="61">
        <f>'SALES SUMMARY'!AG44</f>
        <v>1935.6812</v>
      </c>
      <c r="N23" s="61">
        <f>'SALES SUMMARY'!AG47</f>
        <v>4120.6368000000002</v>
      </c>
      <c r="O23" s="61">
        <f>'SALES SUMMARY'!AG50</f>
        <v>503.09120000000007</v>
      </c>
      <c r="P23" s="61">
        <f>'SALES SUMMARY'!AG53</f>
        <v>0</v>
      </c>
      <c r="Q23" s="61">
        <f>'SALES SUMMARY'!AG56</f>
        <v>2243.7212</v>
      </c>
      <c r="R23" s="61">
        <f>'SALES SUMMARY'!AG59</f>
        <v>1802.3943999999999</v>
      </c>
      <c r="S23" s="61">
        <f>'SALES SUMMARY'!AG62</f>
        <v>2522.9428000000003</v>
      </c>
      <c r="T23" s="61">
        <f>'SALES SUMMARY'!AG65</f>
        <v>2441.6284000000001</v>
      </c>
      <c r="U23" s="61">
        <f>'SALES SUMMARY'!AG68</f>
        <v>3135.2352000000001</v>
      </c>
      <c r="V23" s="61">
        <f>'SALES SUMMARY'!AG71</f>
        <v>200.04919999999998</v>
      </c>
      <c r="W23" s="61">
        <f>'SALES SUMMARY'!AG74</f>
        <v>0</v>
      </c>
      <c r="X23" s="61">
        <f>'SALES SUMMARY'!AG77</f>
        <v>1266.9012</v>
      </c>
      <c r="Y23" s="61">
        <f>'SALES SUMMARY'!AG80</f>
        <v>1919.3000000000002</v>
      </c>
      <c r="Z23" s="61">
        <f>'SALES SUMMARY'!AG83</f>
        <v>1764.3484000000001</v>
      </c>
      <c r="AA23" s="61">
        <f>'SALES SUMMARY'!AG86</f>
        <v>1567.6244000000002</v>
      </c>
      <c r="AB23" s="61">
        <f>'SALES SUMMARY'!AG89</f>
        <v>2683.2936</v>
      </c>
      <c r="AC23" s="61">
        <f>'SALES SUMMARY'!AG92</f>
        <v>521.22679999999991</v>
      </c>
      <c r="AD23" s="61">
        <f>'SALES SUMMARY'!AG95</f>
        <v>0</v>
      </c>
      <c r="AE23" s="61">
        <f>'SALES SUMMARY'!AG98</f>
        <v>1329.8827999999999</v>
      </c>
      <c r="AF23" s="61">
        <f>'SALES SUMMARY'!AG102</f>
        <v>0</v>
      </c>
    </row>
    <row r="24" spans="1:32">
      <c r="A24" s="59" t="s">
        <v>53</v>
      </c>
      <c r="B24" s="61">
        <f>'SALES SUMMARY'!AH11</f>
        <v>0</v>
      </c>
      <c r="C24" s="61">
        <f>'SALES SUMMARY'!AH14</f>
        <v>210.93</v>
      </c>
      <c r="D24" s="61">
        <f>'SALES SUMMARY'!AH17</f>
        <v>242.892</v>
      </c>
      <c r="E24" s="61">
        <f>'SALES SUMMARY'!AH20</f>
        <v>240.60239999999999</v>
      </c>
      <c r="F24" s="61">
        <f>'SALES SUMMARY'!AH23</f>
        <v>331.71719999999999</v>
      </c>
      <c r="G24" s="61">
        <f>'SALES SUMMARY'!AH26</f>
        <v>555.86519999999996</v>
      </c>
      <c r="H24" s="61">
        <f>'SALES SUMMARY'!AH29</f>
        <v>341.14319999999998</v>
      </c>
      <c r="I24" s="61">
        <f>'SALES SUMMARY'!AH32</f>
        <v>0</v>
      </c>
      <c r="J24" s="61">
        <f>'SALES SUMMARY'!AH35</f>
        <v>0</v>
      </c>
      <c r="K24" s="61">
        <f>'SALES SUMMARY'!AH38</f>
        <v>273.10200000000003</v>
      </c>
      <c r="L24" s="61">
        <f>'SALES SUMMARY'!AH41</f>
        <v>292.01279999999997</v>
      </c>
      <c r="M24" s="61">
        <f>'SALES SUMMARY'!AH44</f>
        <v>341.5908</v>
      </c>
      <c r="N24" s="61">
        <f>'SALES SUMMARY'!AH47</f>
        <v>727.1712</v>
      </c>
      <c r="O24" s="61">
        <f>'SALES SUMMARY'!AH50</f>
        <v>88.780800000000013</v>
      </c>
      <c r="P24" s="61">
        <f>'SALES SUMMARY'!AH53</f>
        <v>0</v>
      </c>
      <c r="Q24" s="61">
        <f>'SALES SUMMARY'!AH56</f>
        <v>395.95080000000007</v>
      </c>
      <c r="R24" s="61">
        <f>'SALES SUMMARY'!AH59</f>
        <v>318.06959999999998</v>
      </c>
      <c r="S24" s="61">
        <f>'SALES SUMMARY'!AH62</f>
        <v>445.22520000000003</v>
      </c>
      <c r="T24" s="61">
        <f>'SALES SUMMARY'!AH65</f>
        <v>430.87559999999996</v>
      </c>
      <c r="U24" s="61">
        <f>'SALES SUMMARY'!AH68</f>
        <v>553.27680000000009</v>
      </c>
      <c r="V24" s="61">
        <f>'SALES SUMMARY'!AH71</f>
        <v>35.302799999999998</v>
      </c>
      <c r="W24" s="61">
        <f>'SALES SUMMARY'!AH74</f>
        <v>0</v>
      </c>
      <c r="X24" s="61">
        <f>'SALES SUMMARY'!AH77</f>
        <v>223.57079999999999</v>
      </c>
      <c r="Y24" s="61">
        <f>'SALES SUMMARY'!AH80</f>
        <v>338.70000000000005</v>
      </c>
      <c r="Z24" s="61">
        <f>'SALES SUMMARY'!AH83</f>
        <v>311.35560000000004</v>
      </c>
      <c r="AA24" s="61">
        <f>'SALES SUMMARY'!AH86</f>
        <v>276.63960000000003</v>
      </c>
      <c r="AB24" s="61">
        <f>'SALES SUMMARY'!AH89</f>
        <v>473.52240000000006</v>
      </c>
      <c r="AC24" s="61">
        <f>'SALES SUMMARY'!AH92</f>
        <v>91.981199999999987</v>
      </c>
      <c r="AD24" s="61">
        <f>'SALES SUMMARY'!AH95</f>
        <v>0</v>
      </c>
      <c r="AE24" s="61">
        <f>'SALES SUMMARY'!AH98</f>
        <v>234.68520000000001</v>
      </c>
      <c r="AF24" s="61">
        <f>'SALES SUMMARY'!AH102</f>
        <v>0</v>
      </c>
    </row>
    <row r="25" spans="1:32">
      <c r="A25" s="59" t="s">
        <v>54</v>
      </c>
      <c r="B25" s="61">
        <f>'SALES SUMMARY'!AI11</f>
        <v>0</v>
      </c>
      <c r="C25" s="61">
        <f>'SALES SUMMARY'!AI14</f>
        <v>351.55</v>
      </c>
      <c r="D25" s="61">
        <f>'SALES SUMMARY'!AI17</f>
        <v>404.82000000000005</v>
      </c>
      <c r="E25" s="61">
        <f>'SALES SUMMARY'!AI20</f>
        <v>401.00400000000002</v>
      </c>
      <c r="F25" s="61">
        <f>'SALES SUMMARY'!AI23</f>
        <v>552.86200000000008</v>
      </c>
      <c r="G25" s="61">
        <f>'SALES SUMMARY'!AI26</f>
        <v>926.44200000000001</v>
      </c>
      <c r="H25" s="61">
        <f>'SALES SUMMARY'!AI29</f>
        <v>568.572</v>
      </c>
      <c r="I25" s="61">
        <f>'SALES SUMMARY'!AI32</f>
        <v>0</v>
      </c>
      <c r="J25" s="61">
        <f>'SALES SUMMARY'!AI35</f>
        <v>0</v>
      </c>
      <c r="K25" s="61">
        <f>'SALES SUMMARY'!AI38</f>
        <v>455.17</v>
      </c>
      <c r="L25" s="61">
        <f>'SALES SUMMARY'!AI41</f>
        <v>486.68799999999999</v>
      </c>
      <c r="M25" s="61">
        <f>'SALES SUMMARY'!AI44</f>
        <v>569.31799999999998</v>
      </c>
      <c r="N25" s="61">
        <f>'SALES SUMMARY'!AI47</f>
        <v>1211.9520000000002</v>
      </c>
      <c r="O25" s="61">
        <f>'SALES SUMMARY'!AI50</f>
        <v>147.96800000000002</v>
      </c>
      <c r="P25" s="61">
        <f>'SALES SUMMARY'!AI53</f>
        <v>0</v>
      </c>
      <c r="Q25" s="61">
        <f>'SALES SUMMARY'!AI56</f>
        <v>659.91800000000012</v>
      </c>
      <c r="R25" s="61">
        <f>'SALES SUMMARY'!AI59</f>
        <v>530.11599999999999</v>
      </c>
      <c r="S25" s="61">
        <f>'SALES SUMMARY'!AI62</f>
        <v>742.04200000000003</v>
      </c>
      <c r="T25" s="61">
        <f>'SALES SUMMARY'!AI65</f>
        <v>718.12599999999998</v>
      </c>
      <c r="U25" s="61">
        <f>'SALES SUMMARY'!AI68</f>
        <v>922.12800000000016</v>
      </c>
      <c r="V25" s="61">
        <f>'SALES SUMMARY'!AI71</f>
        <v>58.838000000000001</v>
      </c>
      <c r="W25" s="61">
        <f>'SALES SUMMARY'!AI74</f>
        <v>0</v>
      </c>
      <c r="X25" s="61">
        <f>'SALES SUMMARY'!AI77</f>
        <v>372.61799999999999</v>
      </c>
      <c r="Y25" s="61">
        <f>'SALES SUMMARY'!AI80</f>
        <v>564.5</v>
      </c>
      <c r="Z25" s="61">
        <f>'SALES SUMMARY'!AI83</f>
        <v>518.92600000000004</v>
      </c>
      <c r="AA25" s="61">
        <f>'SALES SUMMARY'!AI86</f>
        <v>461.06600000000003</v>
      </c>
      <c r="AB25" s="61">
        <f>'SALES SUMMARY'!AI89</f>
        <v>789.20400000000006</v>
      </c>
      <c r="AC25" s="61">
        <f>'SALES SUMMARY'!AI92</f>
        <v>153.30199999999999</v>
      </c>
      <c r="AD25" s="61">
        <f>'SALES SUMMARY'!AI95</f>
        <v>0</v>
      </c>
      <c r="AE25" s="61">
        <f>'SALES SUMMARY'!AI98</f>
        <v>391.14200000000005</v>
      </c>
      <c r="AF25" s="61">
        <f>'SALES SUMMARY'!AI102</f>
        <v>0</v>
      </c>
    </row>
    <row r="26" spans="1:32">
      <c r="A26" s="59" t="s">
        <v>55</v>
      </c>
      <c r="B26" s="61">
        <f>'SALES SUMMARY'!AJ11</f>
        <v>0</v>
      </c>
      <c r="C26" s="61">
        <f>'SALES SUMMARY'!AJ14</f>
        <v>0</v>
      </c>
      <c r="D26" s="61">
        <f>'SALES SUMMARY'!AJ17</f>
        <v>0</v>
      </c>
      <c r="E26" s="61">
        <f>'SALES SUMMARY'!AJ20</f>
        <v>0</v>
      </c>
      <c r="F26" s="61">
        <f>'SALES SUMMARY'!AJ23</f>
        <v>0</v>
      </c>
      <c r="G26" s="61">
        <f>'SALES SUMMARY'!AJ26</f>
        <v>0</v>
      </c>
      <c r="H26" s="61">
        <f>'SALES SUMMARY'!AJ29</f>
        <v>0</v>
      </c>
      <c r="I26" s="61">
        <f>'SALES SUMMARY'!AJ32</f>
        <v>0</v>
      </c>
      <c r="J26" s="61">
        <f>'SALES SUMMARY'!AJ35</f>
        <v>0</v>
      </c>
      <c r="K26" s="61">
        <f>'SALES SUMMARY'!AJ38</f>
        <v>0</v>
      </c>
      <c r="L26" s="61">
        <f>'SALES SUMMARY'!AJ41</f>
        <v>0</v>
      </c>
      <c r="M26" s="61">
        <f>'SALES SUMMARY'!AJ44</f>
        <v>0</v>
      </c>
      <c r="N26" s="61">
        <f>'SALES SUMMARY'!AJ47</f>
        <v>0</v>
      </c>
      <c r="O26" s="61">
        <f>'SALES SUMMARY'!AJ50</f>
        <v>0</v>
      </c>
      <c r="P26" s="61">
        <f>'SALES SUMMARY'!AJ53</f>
        <v>0</v>
      </c>
      <c r="Q26" s="61">
        <f>'SALES SUMMARY'!AJ56</f>
        <v>0</v>
      </c>
      <c r="R26" s="61">
        <f>'SALES SUMMARY'!AJ59</f>
        <v>0</v>
      </c>
      <c r="S26" s="61">
        <f>'SALES SUMMARY'!AJ62</f>
        <v>0</v>
      </c>
      <c r="T26" s="61">
        <f>'SALES SUMMARY'!AJ65</f>
        <v>0</v>
      </c>
      <c r="U26" s="61">
        <f>'SALES SUMMARY'!AJ68</f>
        <v>0</v>
      </c>
      <c r="V26" s="61">
        <f>'SALES SUMMARY'!AJ71</f>
        <v>0</v>
      </c>
      <c r="W26" s="61">
        <f>'SALES SUMMARY'!AJ74</f>
        <v>0</v>
      </c>
      <c r="X26" s="61">
        <f>'SALES SUMMARY'!AJ77</f>
        <v>0</v>
      </c>
      <c r="Y26" s="61">
        <f>'SALES SUMMARY'!AJ80</f>
        <v>0</v>
      </c>
      <c r="Z26" s="61">
        <f>'SALES SUMMARY'!AJ83</f>
        <v>0</v>
      </c>
      <c r="AA26" s="61">
        <f>'SALES SUMMARY'!AJ86</f>
        <v>0</v>
      </c>
      <c r="AB26" s="61">
        <f>'SALES SUMMARY'!AJ89</f>
        <v>0</v>
      </c>
      <c r="AC26" s="61">
        <f>'SALES SUMMARY'!AJ92</f>
        <v>0</v>
      </c>
      <c r="AD26" s="61">
        <f>'SALES SUMMARY'!AJ95</f>
        <v>0</v>
      </c>
      <c r="AE26" s="61">
        <f>'SALES SUMMARY'!AJ98</f>
        <v>0</v>
      </c>
      <c r="AF26" s="61">
        <f>'SALES SUMMARY'!AJ102</f>
        <v>0</v>
      </c>
    </row>
    <row r="27" spans="1:32">
      <c r="A27" s="59" t="s">
        <v>56</v>
      </c>
      <c r="B27" s="61">
        <f>'SALES SUMMARY'!AK11</f>
        <v>0</v>
      </c>
      <c r="C27" s="61">
        <f>'SALES SUMMARY'!AK14</f>
        <v>19658.794642857138</v>
      </c>
      <c r="D27" s="61">
        <f>'SALES SUMMARY'!AK17</f>
        <v>22500.508928571428</v>
      </c>
      <c r="E27" s="61">
        <f>'SALES SUMMARY'!AK20</f>
        <v>22478.571428571428</v>
      </c>
      <c r="F27" s="61">
        <f>'SALES SUMMARY'!AK23</f>
        <v>0</v>
      </c>
      <c r="G27" s="61">
        <f>'SALES SUMMARY'!AK26</f>
        <v>47482.53571428571</v>
      </c>
      <c r="H27" s="61">
        <f>'SALES SUMMARY'!AK29</f>
        <v>28428.571428571428</v>
      </c>
      <c r="I27" s="61">
        <f>'SALES SUMMARY'!AK32</f>
        <v>0</v>
      </c>
      <c r="J27" s="61">
        <f>'SALES SUMMARY'!AK35</f>
        <v>0</v>
      </c>
      <c r="K27" s="61">
        <f>'SALES SUMMARY'!AK38</f>
        <v>26958.767857142855</v>
      </c>
      <c r="L27" s="61">
        <f>'SALES SUMMARY'!AK41</f>
        <v>26741.928571428569</v>
      </c>
      <c r="M27" s="61">
        <f>'SALES SUMMARY'!AK44</f>
        <v>31353.5</v>
      </c>
      <c r="N27" s="61">
        <f>'SALES SUMMARY'!AK47</f>
        <v>62671.991071428565</v>
      </c>
      <c r="O27" s="61">
        <f>'SALES SUMMARY'!AK50</f>
        <v>7795.7410714285706</v>
      </c>
      <c r="P27" s="61">
        <f>'SALES SUMMARY'!AK53</f>
        <v>0</v>
      </c>
      <c r="Q27" s="61">
        <f>'SALES SUMMARY'!AK56</f>
        <v>41674.705357142855</v>
      </c>
      <c r="R27" s="61">
        <f>'SALES SUMMARY'!AK59</f>
        <v>33339.91071428571</v>
      </c>
      <c r="S27" s="61">
        <f>'SALES SUMMARY'!AK62</f>
        <v>42708.482142857138</v>
      </c>
      <c r="T27" s="61">
        <f>'SALES SUMMARY'!AK65</f>
        <v>38681.41071428571</v>
      </c>
      <c r="U27" s="61">
        <f>'SALES SUMMARY'!AK68</f>
        <v>47553.69642857142</v>
      </c>
      <c r="V27" s="61">
        <f>'SALES SUMMARY'!AK71</f>
        <v>2978.4464285714284</v>
      </c>
      <c r="W27" s="61">
        <f>'SALES SUMMARY'!AK74</f>
        <v>0</v>
      </c>
      <c r="X27" s="61">
        <f>'SALES SUMMARY'!AK77</f>
        <v>20957.857142857145</v>
      </c>
      <c r="Y27" s="61">
        <f>'SALES SUMMARY'!AK80</f>
        <v>30197.839285714283</v>
      </c>
      <c r="Z27" s="61">
        <f>'SALES SUMMARY'!AK83</f>
        <v>27881.892857142855</v>
      </c>
      <c r="AA27" s="61">
        <f>'SALES SUMMARY'!AK86</f>
        <v>28060.41071428571</v>
      </c>
      <c r="AB27" s="61">
        <f>'SALES SUMMARY'!AK89</f>
        <v>42576.616071428565</v>
      </c>
      <c r="AC27" s="61">
        <f>'SALES SUMMARY'!AK92</f>
        <v>7665.1785714285706</v>
      </c>
      <c r="AD27" s="61">
        <f>'SALES SUMMARY'!AK95</f>
        <v>0</v>
      </c>
      <c r="AE27" s="61">
        <f>'SALES SUMMARY'!AK98</f>
        <v>21356.241071428565</v>
      </c>
      <c r="AF27" s="61">
        <f>'SALES SUMMARY'!AK102</f>
        <v>0</v>
      </c>
    </row>
    <row r="28" spans="1:32">
      <c r="A28" s="59" t="s">
        <v>57</v>
      </c>
      <c r="B28" s="61">
        <f>'SALES SUMMARY'!AM11</f>
        <v>0</v>
      </c>
      <c r="C28" s="61">
        <f>'SALES SUMMARY'!AM14</f>
        <v>2321.1569571428568</v>
      </c>
      <c r="D28" s="61">
        <f>'SALES SUMMARY'!AM17</f>
        <v>2655.6946714285714</v>
      </c>
      <c r="E28" s="61">
        <f>'SALES SUMMARY'!AM20</f>
        <v>2684.8285714285712</v>
      </c>
      <c r="F28" s="61">
        <f>'SALES SUMMARY'!AM23</f>
        <v>0</v>
      </c>
      <c r="G28" s="61">
        <f>'SALES SUMMARY'!AM26</f>
        <v>5670.5646857142856</v>
      </c>
      <c r="H28" s="61">
        <f>'SALES SUMMARY'!AM29</f>
        <v>3411.4285714285711</v>
      </c>
      <c r="I28" s="61">
        <f>'SALES SUMMARY'!AM32</f>
        <v>0</v>
      </c>
      <c r="J28" s="61">
        <f>'SALES SUMMARY'!AM35</f>
        <v>0</v>
      </c>
      <c r="K28" s="61">
        <f>'SALES SUMMARY'!AM38</f>
        <v>3151.856142857142</v>
      </c>
      <c r="L28" s="61">
        <f>'SALES SUMMARY'!AM41</f>
        <v>3136.9450285714283</v>
      </c>
      <c r="M28" s="61">
        <f>'SALES SUMMARY'!AM44</f>
        <v>3671.8271999999997</v>
      </c>
      <c r="N28" s="61">
        <f>'SALES SUMMARY'!AM47</f>
        <v>7477.5085285714267</v>
      </c>
      <c r="O28" s="61">
        <f>'SALES SUMMARY'!AM50</f>
        <v>923.9353285714285</v>
      </c>
      <c r="P28" s="61">
        <f>'SALES SUMMARY'!AM53</f>
        <v>0</v>
      </c>
      <c r="Q28" s="61">
        <f>'SALES SUMMARY'!AM56</f>
        <v>4951.295442857142</v>
      </c>
      <c r="R28" s="61">
        <f>'SALES SUMMARY'!AM59</f>
        <v>3976.6644857142855</v>
      </c>
      <c r="S28" s="61">
        <f>'SALES SUMMARY'!AM62</f>
        <v>5051.4302571428561</v>
      </c>
      <c r="T28" s="61">
        <f>'SALES SUMMARY'!AM65</f>
        <v>4574.090485714285</v>
      </c>
      <c r="U28" s="61">
        <f>'SALES SUMMARY'!AM68</f>
        <v>5701.1935714285701</v>
      </c>
      <c r="V28" s="61">
        <f>'SALES SUMMARY'!AM71</f>
        <v>347.98517142857139</v>
      </c>
      <c r="W28" s="61">
        <f>'SALES SUMMARY'!AM74</f>
        <v>0</v>
      </c>
      <c r="X28" s="61">
        <f>'SALES SUMMARY'!AM77</f>
        <v>2466.7448571428572</v>
      </c>
      <c r="Y28" s="61">
        <f>'SALES SUMMARY'!AM80</f>
        <v>3588.9683142857139</v>
      </c>
      <c r="Z28" s="61">
        <f>'SALES SUMMARY'!AM83</f>
        <v>3291.3099428571422</v>
      </c>
      <c r="AA28" s="61">
        <f>'SALES SUMMARY'!AM86</f>
        <v>3283.8288857142848</v>
      </c>
      <c r="AB28" s="61">
        <f>'SALES SUMMARY'!AM89</f>
        <v>5039.6767285714277</v>
      </c>
      <c r="AC28" s="61">
        <f>'SALES SUMMARY'!AM92</f>
        <v>919.82142857142844</v>
      </c>
      <c r="AD28" s="61">
        <f>'SALES SUMMARY'!AM95</f>
        <v>0</v>
      </c>
      <c r="AE28" s="61">
        <f>'SALES SUMMARY'!AM98</f>
        <v>2534.5189285714278</v>
      </c>
      <c r="AF28" s="61">
        <f>'SALES SUMMARY'!AM102</f>
        <v>0</v>
      </c>
    </row>
    <row r="30" spans="1:32">
      <c r="A30" s="58" t="s">
        <v>58</v>
      </c>
      <c r="B30" s="63">
        <f>-'SALES SUMMARY'!AZ11</f>
        <v>0</v>
      </c>
      <c r="C30" s="63">
        <f>-'SALES SUMMARY'!AZ14</f>
        <v>-620</v>
      </c>
      <c r="D30" s="63">
        <f>-'SALES SUMMARY'!AZ17</f>
        <v>0</v>
      </c>
      <c r="E30" s="63">
        <f>-'SALES SUMMARY'!AZ20</f>
        <v>-660</v>
      </c>
      <c r="F30" s="63">
        <f>-'SALES SUMMARY'!AZ23</f>
        <v>0</v>
      </c>
      <c r="G30" s="63">
        <f>-'SALES SUMMARY'!AZ26</f>
        <v>0</v>
      </c>
      <c r="H30" s="63">
        <f>-'SALES SUMMARY'!AZ29</f>
        <v>0</v>
      </c>
      <c r="I30" s="63">
        <f>-'SALES SUMMARY'!AZ32</f>
        <v>0</v>
      </c>
      <c r="J30" s="63">
        <f>-'SALES SUMMARY'!AZ35</f>
        <v>0</v>
      </c>
      <c r="K30" s="63">
        <f>-'SALES SUMMARY'!AZ38</f>
        <v>-430</v>
      </c>
      <c r="L30" s="63">
        <f>-'SALES SUMMARY'!AZ41</f>
        <v>0</v>
      </c>
      <c r="M30" s="63">
        <f>-'SALES SUMMARY'!AZ44</f>
        <v>0</v>
      </c>
      <c r="N30" s="63">
        <f>-'SALES SUMMARY'!AZ47</f>
        <v>0</v>
      </c>
      <c r="O30" s="63">
        <f>-'SALES SUMMARY'!AZ50</f>
        <v>-745</v>
      </c>
      <c r="P30" s="63">
        <f>-'SALES SUMMARY'!AZ53</f>
        <v>0</v>
      </c>
      <c r="Q30" s="63">
        <f>-'SALES SUMMARY'!AZ56</f>
        <v>-1490</v>
      </c>
      <c r="R30" s="63">
        <f>-'SALES SUMMARY'!AZ59</f>
        <v>-1383</v>
      </c>
      <c r="S30" s="63">
        <f>-'SALES SUMMARY'!AZ62</f>
        <v>0</v>
      </c>
      <c r="T30" s="63">
        <f>-'SALES SUMMARY'!AZ65</f>
        <v>0</v>
      </c>
      <c r="U30" s="63">
        <f>-'SALES SUMMARY'!AZ68</f>
        <v>-296</v>
      </c>
      <c r="V30" s="63">
        <f>-'SALES SUMMARY'!AZ71</f>
        <v>-260</v>
      </c>
      <c r="W30" s="63">
        <f>-'SALES SUMMARY'!AZ74</f>
        <v>0</v>
      </c>
      <c r="X30" s="63">
        <f>-'SALES SUMMARY'!AZ77</f>
        <v>0</v>
      </c>
      <c r="Y30" s="63">
        <f>-'SALES SUMMARY'!AZ80</f>
        <v>-125</v>
      </c>
      <c r="Z30" s="63">
        <f>-'SALES SUMMARY'!AZ83</f>
        <v>-65</v>
      </c>
      <c r="AA30" s="63">
        <f>-'SALES SUMMARY'!AZ86</f>
        <v>0</v>
      </c>
      <c r="AB30" s="63">
        <f>-'SALES SUMMARY'!AZ89</f>
        <v>-1728</v>
      </c>
      <c r="AC30" s="63">
        <f>-'SALES SUMMARY'!AZ92</f>
        <v>-65</v>
      </c>
      <c r="AD30" s="63">
        <f>-'SALES SUMMARY'!AZ95</f>
        <v>0</v>
      </c>
      <c r="AE30" s="63">
        <f>-'SALES SUMMARY'!AZ98</f>
        <v>-750</v>
      </c>
      <c r="AF30" s="63">
        <f>-'SALES SUMMARY'!AZ102</f>
        <v>0</v>
      </c>
    </row>
    <row r="31" spans="1:32">
      <c r="A31" s="58" t="s">
        <v>59</v>
      </c>
      <c r="B31" s="63">
        <f>-'SALES SUMMARY'!BA11</f>
        <v>0</v>
      </c>
      <c r="C31" s="63">
        <f>-'SALES SUMMARY'!BA14</f>
        <v>-185</v>
      </c>
      <c r="D31" s="63">
        <f>-'SALES SUMMARY'!BA17</f>
        <v>-370</v>
      </c>
      <c r="E31" s="63">
        <f>-'SALES SUMMARY'!BA20</f>
        <v>0</v>
      </c>
      <c r="F31" s="63">
        <f>-'SALES SUMMARY'!BA23</f>
        <v>0</v>
      </c>
      <c r="G31" s="63">
        <f>-'SALES SUMMARY'!BA26</f>
        <v>-180</v>
      </c>
      <c r="H31" s="63">
        <f>-'SALES SUMMARY'!BA29</f>
        <v>0</v>
      </c>
      <c r="I31" s="63">
        <f>-'SALES SUMMARY'!BA32</f>
        <v>0</v>
      </c>
      <c r="J31" s="63">
        <f>-'SALES SUMMARY'!BA35</f>
        <v>0</v>
      </c>
      <c r="K31" s="63">
        <f>-'SALES SUMMARY'!BA38</f>
        <v>0</v>
      </c>
      <c r="L31" s="63">
        <f>-'SALES SUMMARY'!BA41</f>
        <v>0</v>
      </c>
      <c r="M31" s="63">
        <f>-'SALES SUMMARY'!BA44</f>
        <v>-125</v>
      </c>
      <c r="N31" s="63">
        <f>-'SALES SUMMARY'!BA47</f>
        <v>0</v>
      </c>
      <c r="O31" s="63">
        <f>-'SALES SUMMARY'!BA50</f>
        <v>0</v>
      </c>
      <c r="P31" s="63">
        <f>-'SALES SUMMARY'!BA53</f>
        <v>0</v>
      </c>
      <c r="Q31" s="63">
        <f>-'SALES SUMMARY'!BA56</f>
        <v>0</v>
      </c>
      <c r="R31" s="63">
        <f>-'SALES SUMMARY'!BA59</f>
        <v>0</v>
      </c>
      <c r="S31" s="63">
        <f>-'SALES SUMMARY'!BA62</f>
        <v>-320</v>
      </c>
      <c r="T31" s="63">
        <f>-'SALES SUMMARY'!BA65</f>
        <v>0</v>
      </c>
      <c r="U31" s="63">
        <f>-'SALES SUMMARY'!BA68</f>
        <v>0</v>
      </c>
      <c r="V31" s="63">
        <f>-'SALES SUMMARY'!BA71</f>
        <v>0</v>
      </c>
      <c r="W31" s="63">
        <f>-'SALES SUMMARY'!BA74</f>
        <v>0</v>
      </c>
      <c r="X31" s="63">
        <f>-'SALES SUMMARY'!BA77</f>
        <v>0</v>
      </c>
      <c r="Y31" s="63">
        <f>-'SALES SUMMARY'!BA80</f>
        <v>0</v>
      </c>
      <c r="Z31" s="63" t="e">
        <f>-'SALES SUMMARY'!BA83</f>
        <v>#VALUE!</v>
      </c>
      <c r="AA31" s="63">
        <f>-'SALES SUMMARY'!BA86</f>
        <v>-315</v>
      </c>
      <c r="AB31" s="63">
        <f>-'SALES SUMMARY'!BA89</f>
        <v>-240</v>
      </c>
      <c r="AC31" s="63">
        <f>-'SALES SUMMARY'!BA92</f>
        <v>0</v>
      </c>
      <c r="AD31" s="63">
        <f>-'SALES SUMMARY'!BA95</f>
        <v>0</v>
      </c>
      <c r="AE31" s="63">
        <f>-'SALES SUMMARY'!BA98</f>
        <v>0</v>
      </c>
      <c r="AF31" s="63">
        <f>-'SALES SUMMARY'!BA102</f>
        <v>0</v>
      </c>
    </row>
    <row r="32" spans="1:32">
      <c r="A32" s="58" t="s">
        <v>60</v>
      </c>
      <c r="B32" s="63">
        <f>-'SALES SUMMARY'!BB11</f>
        <v>0</v>
      </c>
      <c r="C32" s="63">
        <f>-'SALES SUMMARY'!BB14</f>
        <v>0</v>
      </c>
      <c r="D32" s="63">
        <f>-'SALES SUMMARY'!BB17</f>
        <v>0</v>
      </c>
      <c r="E32" s="63">
        <f>-'SALES SUMMARY'!BB20</f>
        <v>0</v>
      </c>
      <c r="F32" s="63">
        <f>-'SALES SUMMARY'!BB23</f>
        <v>0</v>
      </c>
      <c r="G32" s="63">
        <f>-'SALES SUMMARY'!BB26</f>
        <v>0</v>
      </c>
      <c r="H32" s="63">
        <f>-'SALES SUMMARY'!BB29</f>
        <v>0</v>
      </c>
      <c r="I32" s="63">
        <f>-'SALES SUMMARY'!BB32</f>
        <v>0</v>
      </c>
      <c r="J32" s="63">
        <f>-'SALES SUMMARY'!BB35</f>
        <v>0</v>
      </c>
      <c r="K32" s="63">
        <f>-'SALES SUMMARY'!BB38</f>
        <v>0</v>
      </c>
      <c r="L32" s="63">
        <f>-'SALES SUMMARY'!BB41</f>
        <v>0</v>
      </c>
      <c r="M32" s="63">
        <f>-'SALES SUMMARY'!BB44</f>
        <v>0</v>
      </c>
      <c r="N32" s="63">
        <f>-'SALES SUMMARY'!BB47</f>
        <v>0</v>
      </c>
      <c r="O32" s="63">
        <f>-'SALES SUMMARY'!BB50</f>
        <v>0</v>
      </c>
      <c r="P32" s="63">
        <f>-'SALES SUMMARY'!BB53</f>
        <v>0</v>
      </c>
      <c r="Q32" s="63">
        <f>-'SALES SUMMARY'!BB56</f>
        <v>0</v>
      </c>
      <c r="R32" s="63">
        <f>-'SALES SUMMARY'!BB59</f>
        <v>0</v>
      </c>
      <c r="S32" s="63">
        <f>-'SALES SUMMARY'!BB62</f>
        <v>0</v>
      </c>
      <c r="T32" s="63">
        <f>-'SALES SUMMARY'!BB65</f>
        <v>0</v>
      </c>
      <c r="U32" s="63">
        <f>-'SALES SUMMARY'!BB68</f>
        <v>0</v>
      </c>
      <c r="V32" s="63">
        <f>-'SALES SUMMARY'!BB71</f>
        <v>0</v>
      </c>
      <c r="W32" s="63">
        <f>-'SALES SUMMARY'!BB74</f>
        <v>0</v>
      </c>
      <c r="X32" s="63">
        <f>-'SALES SUMMARY'!BB77</f>
        <v>0</v>
      </c>
      <c r="Y32" s="63">
        <f>-'SALES SUMMARY'!BB80</f>
        <v>0</v>
      </c>
      <c r="Z32" s="63">
        <f>-'SALES SUMMARY'!BB83</f>
        <v>0</v>
      </c>
      <c r="AA32" s="63">
        <f>-'SALES SUMMARY'!BB86</f>
        <v>0</v>
      </c>
      <c r="AB32" s="63">
        <f>-'SALES SUMMARY'!BB89</f>
        <v>0</v>
      </c>
      <c r="AC32" s="63">
        <f>-'SALES SUMMARY'!BB92</f>
        <v>0</v>
      </c>
      <c r="AD32" s="63">
        <f>-'SALES SUMMARY'!BB95</f>
        <v>0</v>
      </c>
      <c r="AE32" s="63">
        <f>-'SALES SUMMARY'!BB98</f>
        <v>0</v>
      </c>
      <c r="AF32" s="63">
        <f>-'SALES SUMMARY'!BB102</f>
        <v>0</v>
      </c>
    </row>
    <row r="33" spans="1:32">
      <c r="A33" s="58" t="s">
        <v>61</v>
      </c>
      <c r="B33" s="63">
        <f>-('SALES SUMMARY'!BD11-'SALES SUMMARY'!BC11)</f>
        <v>0</v>
      </c>
      <c r="C33" s="63">
        <f>-('SALES SUMMARY'!BD14-'SALES SUMMARY'!BC14)</f>
        <v>0</v>
      </c>
      <c r="D33" s="63">
        <f>-('SALES SUMMARY'!BD17-'SALES SUMMARY'!BC17)</f>
        <v>0</v>
      </c>
      <c r="E33" s="63">
        <f>-('SALES SUMMARY'!BD20-'SALES SUMMARY'!BC20)</f>
        <v>0</v>
      </c>
      <c r="F33" s="63">
        <f>-('SALES SUMMARY'!BD23-'SALES SUMMARY'!BC23)</f>
        <v>0</v>
      </c>
      <c r="G33" s="63">
        <f>-('SALES SUMMARY'!BD26-'SALES SUMMARY'!BC26)</f>
        <v>0</v>
      </c>
      <c r="H33" s="63">
        <f>-('SALES SUMMARY'!BD29-'SALES SUMMARY'!BC29)</f>
        <v>0</v>
      </c>
      <c r="I33" s="63">
        <f>-('SALES SUMMARY'!BD32-'SALES SUMMARY'!BC32)</f>
        <v>0</v>
      </c>
      <c r="J33" s="63">
        <f>-('SALES SUMMARY'!BD35-'SALES SUMMARY'!BC35)</f>
        <v>0</v>
      </c>
      <c r="K33" s="63">
        <f>-('SALES SUMMARY'!BD38-'SALES SUMMARY'!BC38)</f>
        <v>0</v>
      </c>
      <c r="L33" s="63">
        <f>-('SALES SUMMARY'!BD41-'SALES SUMMARY'!BC41)</f>
        <v>0</v>
      </c>
      <c r="M33" s="63">
        <f>-('SALES SUMMARY'!BD44-'SALES SUMMARY'!BC44)</f>
        <v>0</v>
      </c>
      <c r="N33" s="63">
        <f>-('SALES SUMMARY'!BD47-'SALES SUMMARY'!BC47)</f>
        <v>0</v>
      </c>
      <c r="O33" s="63">
        <f>-('SALES SUMMARY'!BD50-'SALES SUMMARY'!BC50)</f>
        <v>0</v>
      </c>
      <c r="P33" s="63">
        <f>-('SALES SUMMARY'!BD53-'SALES SUMMARY'!BC53)</f>
        <v>0</v>
      </c>
      <c r="Q33" s="63">
        <f>-('SALES SUMMARY'!BD56-'SALES SUMMARY'!BC56)</f>
        <v>0</v>
      </c>
      <c r="R33" s="63">
        <f>-('SALES SUMMARY'!BD59-'SALES SUMMARY'!BC59)</f>
        <v>0</v>
      </c>
      <c r="S33" s="63">
        <f>-('SALES SUMMARY'!BD62-'SALES SUMMARY'!BC62)</f>
        <v>0</v>
      </c>
      <c r="T33" s="63">
        <f>-('SALES SUMMARY'!BD65-'SALES SUMMARY'!BC65)</f>
        <v>0</v>
      </c>
      <c r="U33" s="63">
        <f>-('SALES SUMMARY'!BD68-'SALES SUMMARY'!BC68)</f>
        <v>0</v>
      </c>
      <c r="V33" s="63">
        <f>-('SALES SUMMARY'!BD71-'SALES SUMMARY'!BC71)</f>
        <v>0</v>
      </c>
      <c r="W33" s="63">
        <f>-('SALES SUMMARY'!BD74-'SALES SUMMARY'!BC74)</f>
        <v>0</v>
      </c>
      <c r="X33" s="63">
        <f>-('SALES SUMMARY'!BD77-'SALES SUMMARY'!BC77)</f>
        <v>0</v>
      </c>
      <c r="Y33" s="63">
        <f>-('SALES SUMMARY'!BD80-'SALES SUMMARY'!BC80)</f>
        <v>0</v>
      </c>
      <c r="Z33" s="63">
        <f>-('SALES SUMMARY'!BD83-'SALES SUMMARY'!BC83)</f>
        <v>0</v>
      </c>
      <c r="AA33" s="63">
        <f>-('SALES SUMMARY'!BD86-'SALES SUMMARY'!BC86)</f>
        <v>0</v>
      </c>
      <c r="AB33" s="63">
        <f>-('SALES SUMMARY'!BD89-'SALES SUMMARY'!BC89)</f>
        <v>0</v>
      </c>
      <c r="AC33" s="63">
        <f>-('SALES SUMMARY'!BD92-'SALES SUMMARY'!BC92)</f>
        <v>0</v>
      </c>
      <c r="AD33" s="63">
        <f>-('SALES SUMMARY'!BD95-'SALES SUMMARY'!BC95)</f>
        <v>0</v>
      </c>
      <c r="AE33" s="63">
        <f>-('SALES SUMMARY'!BD98-'SALES SUMMARY'!BC98)</f>
        <v>0</v>
      </c>
      <c r="AF33" s="63">
        <f>-('SALES SUMMARY'!BD102-'SALES SUMMARY'!BC102)</f>
        <v>0</v>
      </c>
    </row>
    <row r="34" spans="1:32">
      <c r="A34" s="58" t="s">
        <v>36</v>
      </c>
      <c r="B34" s="63">
        <f>'SALES SUMMARY'!BR11</f>
        <v>0</v>
      </c>
      <c r="C34" s="63">
        <f>'SALES SUMMARY'!BR14</f>
        <v>805</v>
      </c>
      <c r="D34" s="63">
        <f>'SALES SUMMARY'!BR17</f>
        <v>370</v>
      </c>
      <c r="E34" s="63">
        <f>'SALES SUMMARY'!BR20</f>
        <v>660</v>
      </c>
      <c r="F34" s="63">
        <f>'SALES SUMMARY'!BR23</f>
        <v>0</v>
      </c>
      <c r="G34" s="63">
        <f>'SALES SUMMARY'!BR26</f>
        <v>180</v>
      </c>
      <c r="H34" s="63">
        <f>'SALES SUMMARY'!BR29</f>
        <v>0</v>
      </c>
      <c r="I34" s="63">
        <f>'SALES SUMMARY'!BR32</f>
        <v>0</v>
      </c>
      <c r="J34" s="63">
        <f>'SALES SUMMARY'!BR35</f>
        <v>0</v>
      </c>
      <c r="K34" s="63">
        <f>'SALES SUMMARY'!BR38</f>
        <v>430</v>
      </c>
      <c r="L34" s="63">
        <f>'SALES SUMMARY'!BR41</f>
        <v>0</v>
      </c>
      <c r="M34" s="63">
        <f>'SALES SUMMARY'!BR44</f>
        <v>125</v>
      </c>
      <c r="N34" s="63">
        <f>'SALES SUMMARY'!BR47</f>
        <v>0</v>
      </c>
      <c r="O34" s="63">
        <f>'SALES SUMMARY'!BR50</f>
        <v>745</v>
      </c>
      <c r="P34" s="63">
        <f>'SALES SUMMARY'!BR53</f>
        <v>0</v>
      </c>
      <c r="Q34" s="63">
        <f>'SALES SUMMARY'!BR56</f>
        <v>1490</v>
      </c>
      <c r="R34" s="63">
        <f>'SALES SUMMARY'!BR59</f>
        <v>1383</v>
      </c>
      <c r="S34" s="63">
        <f>'SALES SUMMARY'!BR62</f>
        <v>320</v>
      </c>
      <c r="T34" s="63">
        <f>'SALES SUMMARY'!BR65</f>
        <v>0</v>
      </c>
      <c r="U34" s="63">
        <f>'SALES SUMMARY'!BR68</f>
        <v>296</v>
      </c>
      <c r="V34" s="63">
        <f>'SALES SUMMARY'!BR71</f>
        <v>260</v>
      </c>
      <c r="W34" s="63">
        <f>'SALES SUMMARY'!BR74</f>
        <v>0</v>
      </c>
      <c r="X34" s="63">
        <f>'SALES SUMMARY'!BR77</f>
        <v>0</v>
      </c>
      <c r="Y34" s="63">
        <f>'SALES SUMMARY'!BR80</f>
        <v>125</v>
      </c>
      <c r="Z34" s="63">
        <f>'SALES SUMMARY'!BR83</f>
        <v>65</v>
      </c>
      <c r="AA34" s="63">
        <f>'SALES SUMMARY'!BR86</f>
        <v>315</v>
      </c>
      <c r="AB34" s="63">
        <f>'SALES SUMMARY'!BR89</f>
        <v>1968</v>
      </c>
      <c r="AC34" s="63">
        <f>'SALES SUMMARY'!BR92</f>
        <v>65</v>
      </c>
      <c r="AD34" s="63">
        <f>'SALES SUMMARY'!BR95</f>
        <v>0</v>
      </c>
      <c r="AE34" s="63">
        <f>'SALES SUMMARY'!BR98</f>
        <v>750</v>
      </c>
      <c r="AF34" s="63">
        <f>'SALES SUMMARY'!BR102</f>
        <v>0</v>
      </c>
    </row>
    <row r="36" spans="1:32">
      <c r="A36" s="58" t="s">
        <v>62</v>
      </c>
      <c r="B36" s="62">
        <f>SUM(B5:B35)-B3</f>
        <v>0</v>
      </c>
      <c r="C36" s="62">
        <f t="shared" ref="C36:AF36" si="0">SUM(C5:C35)-C3</f>
        <v>277.92159999999058</v>
      </c>
      <c r="D36" s="62">
        <f t="shared" si="0"/>
        <v>1105.3536000000022</v>
      </c>
      <c r="E36" s="62">
        <f t="shared" si="0"/>
        <v>92.399999999997817</v>
      </c>
      <c r="F36" s="62">
        <f t="shared" si="0"/>
        <v>-32531.1</v>
      </c>
      <c r="G36" s="62">
        <f t="shared" si="0"/>
        <v>200.49039999999513</v>
      </c>
      <c r="H36" s="62">
        <f t="shared" si="0"/>
        <v>0</v>
      </c>
      <c r="I36" s="62">
        <f t="shared" si="0"/>
        <v>0</v>
      </c>
      <c r="J36" s="62">
        <f t="shared" si="0"/>
        <v>0</v>
      </c>
      <c r="K36" s="62">
        <f t="shared" si="0"/>
        <v>610.10399999999572</v>
      </c>
      <c r="L36" s="62">
        <f t="shared" si="0"/>
        <v>528.63359999999739</v>
      </c>
      <c r="M36" s="62">
        <f t="shared" si="0"/>
        <v>664.34720000000016</v>
      </c>
      <c r="N36" s="62">
        <f t="shared" si="0"/>
        <v>316.28959999998915</v>
      </c>
      <c r="O36" s="62">
        <f t="shared" si="0"/>
        <v>84.726399999998648</v>
      </c>
      <c r="P36" s="62">
        <f t="shared" si="0"/>
        <v>0</v>
      </c>
      <c r="Q36" s="62">
        <f t="shared" si="0"/>
        <v>364.24079999999958</v>
      </c>
      <c r="R36" s="62">
        <f t="shared" si="0"/>
        <v>4976.9151999999958</v>
      </c>
      <c r="S36" s="62">
        <f t="shared" si="0"/>
        <v>5339.6423999999897</v>
      </c>
      <c r="T36" s="62">
        <f t="shared" si="0"/>
        <v>5296.3111999999928</v>
      </c>
      <c r="U36" s="62">
        <f t="shared" si="0"/>
        <v>5338.4999999999927</v>
      </c>
      <c r="V36" s="62">
        <f t="shared" si="0"/>
        <v>69.141599999999926</v>
      </c>
      <c r="W36" s="62">
        <f t="shared" si="0"/>
        <v>0</v>
      </c>
      <c r="X36" s="62">
        <f t="shared" si="0"/>
        <v>353.45200000000477</v>
      </c>
      <c r="Y36" s="62">
        <f t="shared" si="0"/>
        <v>254.99759999999878</v>
      </c>
      <c r="Z36" s="62" t="e">
        <f t="shared" si="0"/>
        <v>#VALUE!</v>
      </c>
      <c r="AA36" s="62">
        <f t="shared" si="0"/>
        <v>611.74959999999555</v>
      </c>
      <c r="AB36" s="62">
        <f t="shared" si="0"/>
        <v>509.79279999999562</v>
      </c>
      <c r="AC36" s="62">
        <f t="shared" si="0"/>
        <v>0</v>
      </c>
      <c r="AD36" s="62">
        <f t="shared" si="0"/>
        <v>0</v>
      </c>
      <c r="AE36" s="62">
        <f t="shared" si="0"/>
        <v>307.01999999998952</v>
      </c>
      <c r="AF36" s="62">
        <f t="shared" si="0"/>
        <v>0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74"/>
  <sheetViews>
    <sheetView topLeftCell="A4" zoomScaleSheetLayoutView="85" workbookViewId="0">
      <selection activeCell="H46" sqref="H46"/>
    </sheetView>
  </sheetViews>
  <sheetFormatPr defaultRowHeight="12.75"/>
  <cols>
    <col min="1" max="1" width="12.85546875" style="75" customWidth="1"/>
    <col min="2" max="2" width="6.28515625" style="75" customWidth="1"/>
    <col min="3" max="4" width="13.140625" style="75" customWidth="1"/>
    <col min="5" max="5" width="13.5703125" style="75" customWidth="1"/>
    <col min="6" max="6" width="13.28515625" style="75" customWidth="1"/>
    <col min="7" max="7" width="10.28515625" style="75" bestFit="1" customWidth="1"/>
    <col min="8" max="8" width="9.28515625" style="75" bestFit="1" customWidth="1"/>
    <col min="9" max="9" width="12.85546875" style="75" customWidth="1"/>
    <col min="10" max="10" width="7.28515625" style="75" customWidth="1"/>
    <col min="11" max="11" width="15.140625" style="75" customWidth="1"/>
    <col min="12" max="12" width="16.85546875" style="75" customWidth="1"/>
    <col min="13" max="13" width="13.5703125" style="75" customWidth="1"/>
    <col min="14" max="14" width="13.28515625" style="75" customWidth="1"/>
    <col min="15" max="16384" width="9.140625" style="75"/>
  </cols>
  <sheetData>
    <row r="1" spans="1:15" ht="15.75">
      <c r="A1" s="72" t="str">
        <f>'SALES SUMMARY'!A1</f>
        <v>THE OLD SPAGHETTI HOUSE-VALERO</v>
      </c>
      <c r="B1" s="72"/>
      <c r="C1" s="72"/>
      <c r="D1" s="72"/>
      <c r="E1" s="72"/>
      <c r="F1" s="72"/>
      <c r="I1" s="72" t="str">
        <f>+'SALES SUMMARY'!A1</f>
        <v>THE OLD SPAGHETTI HOUSE-VALERO</v>
      </c>
      <c r="J1" s="72"/>
      <c r="K1" s="72"/>
      <c r="L1" s="72"/>
      <c r="M1" s="72"/>
      <c r="N1" s="72"/>
    </row>
    <row r="2" spans="1:15" ht="15.75">
      <c r="A2" s="72" t="s">
        <v>70</v>
      </c>
      <c r="B2" s="72"/>
      <c r="C2" s="72"/>
      <c r="D2" s="72"/>
      <c r="E2" s="72"/>
      <c r="F2" s="72"/>
      <c r="I2" s="72" t="s">
        <v>70</v>
      </c>
      <c r="J2" s="72"/>
      <c r="K2" s="72"/>
      <c r="L2" s="72"/>
      <c r="M2" s="72"/>
      <c r="N2" s="72"/>
    </row>
    <row r="3" spans="1:15" ht="15.75">
      <c r="A3" s="74" t="s">
        <v>148</v>
      </c>
      <c r="B3" s="72"/>
      <c r="C3" s="72"/>
      <c r="D3" s="72"/>
      <c r="E3" s="72"/>
      <c r="F3" s="72"/>
      <c r="I3" s="74" t="s">
        <v>149</v>
      </c>
      <c r="J3" s="72"/>
      <c r="K3" s="72"/>
      <c r="L3" s="72"/>
      <c r="M3" s="72"/>
      <c r="N3" s="72"/>
    </row>
    <row r="4" spans="1:15" ht="13.5" thickBot="1"/>
    <row r="5" spans="1:15" ht="13.5" customHeight="1" thickTop="1">
      <c r="A5" s="211" t="s">
        <v>2</v>
      </c>
      <c r="B5" s="213" t="s">
        <v>3</v>
      </c>
      <c r="C5" s="213" t="s">
        <v>71</v>
      </c>
      <c r="D5" s="215" t="s">
        <v>29</v>
      </c>
      <c r="E5" s="216"/>
      <c r="F5" s="209" t="s">
        <v>72</v>
      </c>
      <c r="I5" s="211" t="s">
        <v>2</v>
      </c>
      <c r="J5" s="213" t="s">
        <v>3</v>
      </c>
      <c r="K5" s="213" t="s">
        <v>71</v>
      </c>
      <c r="L5" s="215" t="s">
        <v>29</v>
      </c>
      <c r="M5" s="216"/>
      <c r="N5" s="209" t="s">
        <v>73</v>
      </c>
    </row>
    <row r="6" spans="1:15" ht="26.25" thickBot="1">
      <c r="A6" s="212"/>
      <c r="B6" s="214"/>
      <c r="C6" s="214"/>
      <c r="D6" s="76" t="s">
        <v>74</v>
      </c>
      <c r="E6" s="76" t="s">
        <v>75</v>
      </c>
      <c r="F6" s="210"/>
      <c r="I6" s="212"/>
      <c r="J6" s="214"/>
      <c r="K6" s="214"/>
      <c r="L6" s="76" t="s">
        <v>74</v>
      </c>
      <c r="M6" s="76" t="s">
        <v>75</v>
      </c>
      <c r="N6" s="210"/>
    </row>
    <row r="7" spans="1:15" ht="13.5" thickTop="1">
      <c r="A7" s="125"/>
      <c r="B7" s="77"/>
      <c r="C7" s="77"/>
      <c r="D7" s="77"/>
      <c r="E7" s="77"/>
      <c r="F7" s="78"/>
      <c r="I7" s="125"/>
      <c r="J7" s="77"/>
      <c r="K7" s="77"/>
      <c r="L7" s="77"/>
      <c r="M7" s="77"/>
      <c r="N7" s="78"/>
    </row>
    <row r="8" spans="1:15">
      <c r="A8" s="207">
        <v>42339</v>
      </c>
      <c r="B8" s="79" t="s">
        <v>43</v>
      </c>
      <c r="C8" s="80">
        <f>+'SALES SUMMARY'!AF9</f>
        <v>0</v>
      </c>
      <c r="D8" s="81">
        <f>(C8*0.8)*0.85</f>
        <v>0</v>
      </c>
      <c r="E8" s="81">
        <f>(C8*0.8)*0.15</f>
        <v>0</v>
      </c>
      <c r="F8" s="82">
        <f>C8*0.2</f>
        <v>0</v>
      </c>
      <c r="I8" s="207">
        <v>42354</v>
      </c>
      <c r="J8" s="79" t="s">
        <v>43</v>
      </c>
      <c r="K8" s="80">
        <f>+'SALES SUMMARY'!AF54</f>
        <v>1722.96</v>
      </c>
      <c r="L8" s="81">
        <f>(K8*0.8)*0.85</f>
        <v>1171.6128000000001</v>
      </c>
      <c r="M8" s="81">
        <f>(K8*0.8)*0.15</f>
        <v>206.75520000000003</v>
      </c>
      <c r="N8" s="82">
        <f>K8*0.2</f>
        <v>344.59200000000004</v>
      </c>
      <c r="O8" s="81"/>
    </row>
    <row r="9" spans="1:15" ht="13.5" thickBot="1">
      <c r="A9" s="208"/>
      <c r="B9" s="83" t="s">
        <v>44</v>
      </c>
      <c r="C9" s="80">
        <f>+'SALES SUMMARY'!AF10</f>
        <v>0</v>
      </c>
      <c r="D9" s="81">
        <f>(C9*0.8)*0.85</f>
        <v>0</v>
      </c>
      <c r="E9" s="81">
        <f>(C9*0.8)*0.15</f>
        <v>0</v>
      </c>
      <c r="F9" s="82">
        <f>C9*0.2</f>
        <v>0</v>
      </c>
      <c r="I9" s="208"/>
      <c r="J9" s="83" t="s">
        <v>44</v>
      </c>
      <c r="K9" s="80">
        <f>+'SALES SUMMARY'!AF55</f>
        <v>1576.63</v>
      </c>
      <c r="L9" s="81">
        <f>(K9*0.8)*0.85</f>
        <v>1072.1084000000001</v>
      </c>
      <c r="M9" s="81">
        <f>(K9*0.8)*0.15</f>
        <v>189.19560000000001</v>
      </c>
      <c r="N9" s="82">
        <f>K9*0.2</f>
        <v>315.32600000000002</v>
      </c>
    </row>
    <row r="10" spans="1:15" ht="13.5" thickBot="1">
      <c r="A10" s="126"/>
      <c r="B10" s="84"/>
      <c r="C10" s="85">
        <f>+C9+C8</f>
        <v>0</v>
      </c>
      <c r="D10" s="86">
        <f>+D9+D8</f>
        <v>0</v>
      </c>
      <c r="E10" s="86">
        <f>+E9+E8</f>
        <v>0</v>
      </c>
      <c r="F10" s="87">
        <f>+F9+F8</f>
        <v>0</v>
      </c>
      <c r="I10" s="126"/>
      <c r="J10" s="84"/>
      <c r="K10" s="85">
        <f>+K9+K8</f>
        <v>3299.59</v>
      </c>
      <c r="L10" s="86">
        <f>+L9+L8</f>
        <v>2243.7212</v>
      </c>
      <c r="M10" s="86">
        <f>+M9+M8</f>
        <v>395.95080000000007</v>
      </c>
      <c r="N10" s="87">
        <f>+N9+N8</f>
        <v>659.91800000000012</v>
      </c>
    </row>
    <row r="11" spans="1:15">
      <c r="A11" s="207">
        <f>+A8+1</f>
        <v>42340</v>
      </c>
      <c r="B11" s="83"/>
      <c r="C11" s="80">
        <f>+'SALES SUMMARY'!AF12</f>
        <v>930.96</v>
      </c>
      <c r="D11" s="81">
        <f>(C11*0.8)*0.85</f>
        <v>633.05280000000005</v>
      </c>
      <c r="E11" s="81">
        <f>(C11*0.8)*0.15</f>
        <v>111.7152</v>
      </c>
      <c r="F11" s="82">
        <f>C11*0.2</f>
        <v>186.19200000000001</v>
      </c>
      <c r="I11" s="123">
        <f>+I8+1</f>
        <v>42355</v>
      </c>
      <c r="J11" s="83"/>
      <c r="K11" s="80">
        <f>+'SALES SUMMARY'!AF57</f>
        <v>1425.87</v>
      </c>
      <c r="L11" s="81">
        <f>(K11*0.8)*0.85</f>
        <v>969.59159999999986</v>
      </c>
      <c r="M11" s="81">
        <f>(K11*0.8)*0.15</f>
        <v>171.10439999999997</v>
      </c>
      <c r="N11" s="82">
        <f>K11*0.2</f>
        <v>285.17399999999998</v>
      </c>
    </row>
    <row r="12" spans="1:15" ht="13.5" thickBot="1">
      <c r="A12" s="208"/>
      <c r="B12" s="83"/>
      <c r="C12" s="80">
        <f>+'SALES SUMMARY'!AF13</f>
        <v>826.79</v>
      </c>
      <c r="D12" s="81">
        <f>(C12*0.8)*0.85</f>
        <v>562.21720000000005</v>
      </c>
      <c r="E12" s="81">
        <f>(C12*0.8)*0.15</f>
        <v>99.214799999999997</v>
      </c>
      <c r="F12" s="82">
        <f>C12*0.2</f>
        <v>165.358</v>
      </c>
      <c r="I12" s="124"/>
      <c r="J12" s="83"/>
      <c r="K12" s="80">
        <f>+'SALES SUMMARY'!AF58</f>
        <v>1224.71</v>
      </c>
      <c r="L12" s="81">
        <f>(K12*0.8)*0.85</f>
        <v>832.80280000000005</v>
      </c>
      <c r="M12" s="81">
        <f>(K12*0.8)*0.15</f>
        <v>146.96520000000001</v>
      </c>
      <c r="N12" s="82">
        <f>K12*0.2</f>
        <v>244.94200000000001</v>
      </c>
    </row>
    <row r="13" spans="1:15" ht="13.5" thickBot="1">
      <c r="A13" s="126"/>
      <c r="B13" s="84"/>
      <c r="C13" s="85">
        <f>+C12+C11</f>
        <v>1757.75</v>
      </c>
      <c r="D13" s="86">
        <f>+D12+D11</f>
        <v>1195.27</v>
      </c>
      <c r="E13" s="86">
        <f>+E12+E11</f>
        <v>210.93</v>
      </c>
      <c r="F13" s="87">
        <f>+F12+F11</f>
        <v>351.55</v>
      </c>
      <c r="I13" s="126"/>
      <c r="J13" s="84"/>
      <c r="K13" s="85">
        <f>+K12+K11</f>
        <v>2650.58</v>
      </c>
      <c r="L13" s="86">
        <f>+L12+L11</f>
        <v>1802.3943999999999</v>
      </c>
      <c r="M13" s="86">
        <f>+M12+M11</f>
        <v>318.06959999999998</v>
      </c>
      <c r="N13" s="87">
        <f>+N12+N11</f>
        <v>530.11599999999999</v>
      </c>
    </row>
    <row r="14" spans="1:15">
      <c r="A14" s="207">
        <f>+A11+1</f>
        <v>42341</v>
      </c>
      <c r="B14" s="83"/>
      <c r="C14" s="80">
        <f>+'SALES SUMMARY'!AF15</f>
        <v>1085.98</v>
      </c>
      <c r="D14" s="81">
        <f>(C14*0.8)*0.85</f>
        <v>738.46640000000002</v>
      </c>
      <c r="E14" s="81">
        <f>(C14*0.8)*0.15</f>
        <v>130.3176</v>
      </c>
      <c r="F14" s="82">
        <f>C14*0.2</f>
        <v>217.19600000000003</v>
      </c>
      <c r="I14" s="123">
        <f>+I11+1</f>
        <v>42356</v>
      </c>
      <c r="J14" s="83"/>
      <c r="K14" s="80">
        <f>+'SALES SUMMARY'!AF60</f>
        <v>2521.0500000000002</v>
      </c>
      <c r="L14" s="81">
        <f>(K14*0.8)*0.85</f>
        <v>1714.3140000000001</v>
      </c>
      <c r="M14" s="81">
        <f>(K14*0.8)*0.15</f>
        <v>302.52600000000001</v>
      </c>
      <c r="N14" s="82">
        <f>K14*0.2</f>
        <v>504.21000000000004</v>
      </c>
    </row>
    <row r="15" spans="1:15" ht="13.5" thickBot="1">
      <c r="A15" s="208"/>
      <c r="B15" s="83"/>
      <c r="C15" s="80">
        <f>+'SALES SUMMARY'!AF16</f>
        <v>938.12</v>
      </c>
      <c r="D15" s="81">
        <f>(C15*0.8)*0.85</f>
        <v>637.92160000000001</v>
      </c>
      <c r="E15" s="81">
        <f>(C15*0.8)*0.15</f>
        <v>112.57440000000001</v>
      </c>
      <c r="F15" s="82">
        <f>C15*0.2</f>
        <v>187.62400000000002</v>
      </c>
      <c r="I15" s="124"/>
      <c r="J15" s="83"/>
      <c r="K15" s="80">
        <f>+'SALES SUMMARY'!AF61</f>
        <v>1189.1600000000001</v>
      </c>
      <c r="L15" s="81">
        <f>(K15*0.8)*0.85</f>
        <v>808.62880000000007</v>
      </c>
      <c r="M15" s="81">
        <f>(K15*0.8)*0.15</f>
        <v>142.69920000000002</v>
      </c>
      <c r="N15" s="82">
        <f>K15*0.2</f>
        <v>237.83200000000002</v>
      </c>
    </row>
    <row r="16" spans="1:15" ht="13.5" thickBot="1">
      <c r="A16" s="127"/>
      <c r="B16" s="84"/>
      <c r="C16" s="85">
        <f>+C15+C14</f>
        <v>2024.1</v>
      </c>
      <c r="D16" s="86">
        <f>+D15+D14</f>
        <v>1376.3879999999999</v>
      </c>
      <c r="E16" s="86">
        <f>+E15+E14</f>
        <v>242.892</v>
      </c>
      <c r="F16" s="87">
        <f>+F15+F14</f>
        <v>404.82000000000005</v>
      </c>
      <c r="I16" s="127"/>
      <c r="J16" s="84"/>
      <c r="K16" s="85">
        <f>+K15+K14</f>
        <v>3710.21</v>
      </c>
      <c r="L16" s="86">
        <f>+L15+L14</f>
        <v>2522.9428000000003</v>
      </c>
      <c r="M16" s="86">
        <f>+M15+M14</f>
        <v>445.22520000000003</v>
      </c>
      <c r="N16" s="87">
        <f>+N15+N14</f>
        <v>742.04200000000003</v>
      </c>
    </row>
    <row r="17" spans="1:14">
      <c r="A17" s="207">
        <f>+A14+1</f>
        <v>42342</v>
      </c>
      <c r="B17" s="83"/>
      <c r="C17" s="80">
        <f>+'SALES SUMMARY'!AF18</f>
        <v>883.94</v>
      </c>
      <c r="D17" s="81">
        <f>(C17*0.8)*0.85</f>
        <v>601.07920000000001</v>
      </c>
      <c r="E17" s="81">
        <f>(C17*0.8)*0.15</f>
        <v>106.0728</v>
      </c>
      <c r="F17" s="82">
        <f>C17*0.2</f>
        <v>176.78800000000001</v>
      </c>
      <c r="I17" s="123">
        <f>+I14+1</f>
        <v>42357</v>
      </c>
      <c r="J17" s="83"/>
      <c r="K17" s="80">
        <f>+'SALES SUMMARY'!AF63</f>
        <v>2291.04</v>
      </c>
      <c r="L17" s="81">
        <f>(K17*0.8)*0.85</f>
        <v>1557.9072000000001</v>
      </c>
      <c r="M17" s="81">
        <f>(K17*0.8)*0.15</f>
        <v>274.9248</v>
      </c>
      <c r="N17" s="82">
        <f>K17*0.2</f>
        <v>458.20800000000003</v>
      </c>
    </row>
    <row r="18" spans="1:14" ht="13.5" thickBot="1">
      <c r="A18" s="208"/>
      <c r="B18" s="83"/>
      <c r="C18" s="80">
        <f>+'SALES SUMMARY'!AF19</f>
        <v>1121.08</v>
      </c>
      <c r="D18" s="81">
        <f>(C18*0.8)*0.85</f>
        <v>762.33439999999996</v>
      </c>
      <c r="E18" s="81">
        <f>(C18*0.8)*0.15</f>
        <v>134.52959999999999</v>
      </c>
      <c r="F18" s="82">
        <f>C18*0.2</f>
        <v>224.21600000000001</v>
      </c>
      <c r="I18" s="124"/>
      <c r="J18" s="83"/>
      <c r="K18" s="80">
        <f>+'SALES SUMMARY'!AF64</f>
        <v>1299.5899999999999</v>
      </c>
      <c r="L18" s="81">
        <f>(K18*0.8)*0.85</f>
        <v>883.72119999999995</v>
      </c>
      <c r="M18" s="81">
        <f>(K18*0.8)*0.15</f>
        <v>155.95079999999999</v>
      </c>
      <c r="N18" s="82">
        <f>K18*0.2</f>
        <v>259.91800000000001</v>
      </c>
    </row>
    <row r="19" spans="1:14" ht="13.5" thickBot="1">
      <c r="A19" s="127"/>
      <c r="B19" s="84"/>
      <c r="C19" s="85">
        <f>+C18+C17</f>
        <v>2005.02</v>
      </c>
      <c r="D19" s="86">
        <f>+D18+D17</f>
        <v>1363.4135999999999</v>
      </c>
      <c r="E19" s="86">
        <f>+E18+E17</f>
        <v>240.60239999999999</v>
      </c>
      <c r="F19" s="87">
        <f>+F18+F17</f>
        <v>401.00400000000002</v>
      </c>
      <c r="I19" s="127"/>
      <c r="J19" s="84"/>
      <c r="K19" s="85">
        <f>+K18+K17</f>
        <v>3590.63</v>
      </c>
      <c r="L19" s="86">
        <f>+L18+L17</f>
        <v>2441.6284000000001</v>
      </c>
      <c r="M19" s="86">
        <f>+M18+M17</f>
        <v>430.87559999999996</v>
      </c>
      <c r="N19" s="87">
        <f>+N18+N17</f>
        <v>718.12599999999998</v>
      </c>
    </row>
    <row r="20" spans="1:14">
      <c r="A20" s="207">
        <f>+A17+1</f>
        <v>42343</v>
      </c>
      <c r="B20" s="83"/>
      <c r="C20" s="80">
        <f>+'SALES SUMMARY'!AF21</f>
        <v>1683.76</v>
      </c>
      <c r="D20" s="81">
        <f>(C20*0.8)*0.85</f>
        <v>1144.9567999999999</v>
      </c>
      <c r="E20" s="81">
        <f>(C20*0.8)*0.15</f>
        <v>202.05119999999999</v>
      </c>
      <c r="F20" s="82">
        <f>C20*0.2</f>
        <v>336.75200000000001</v>
      </c>
      <c r="I20" s="123">
        <f>+I17+1</f>
        <v>42358</v>
      </c>
      <c r="J20" s="83"/>
      <c r="K20" s="80">
        <f>+'SALES SUMMARY'!AF66</f>
        <v>2432.0700000000002</v>
      </c>
      <c r="L20" s="81">
        <f>(K20*0.8)*0.85</f>
        <v>1653.8076000000001</v>
      </c>
      <c r="M20" s="81">
        <f>(K20*0.8)*0.15</f>
        <v>291.84840000000003</v>
      </c>
      <c r="N20" s="82">
        <f>K20*0.2</f>
        <v>486.41400000000004</v>
      </c>
    </row>
    <row r="21" spans="1:14" ht="13.5" thickBot="1">
      <c r="A21" s="208"/>
      <c r="B21" s="83"/>
      <c r="C21" s="80">
        <f>+'SALES SUMMARY'!AF22</f>
        <v>1080.55</v>
      </c>
      <c r="D21" s="81">
        <f>(C21*0.8)*0.85</f>
        <v>734.774</v>
      </c>
      <c r="E21" s="81">
        <f>(C21*0.8)*0.15</f>
        <v>129.666</v>
      </c>
      <c r="F21" s="82">
        <f>C21*0.2</f>
        <v>216.11</v>
      </c>
      <c r="I21" s="124"/>
      <c r="J21" s="83"/>
      <c r="K21" s="80">
        <f>+'SALES SUMMARY'!AF67</f>
        <v>2178.5700000000002</v>
      </c>
      <c r="L21" s="81">
        <f>(K21*0.8)*0.85</f>
        <v>1481.4276000000002</v>
      </c>
      <c r="M21" s="81">
        <f>(K21*0.8)*0.15</f>
        <v>261.42840000000001</v>
      </c>
      <c r="N21" s="82">
        <f>K21*0.2</f>
        <v>435.71400000000006</v>
      </c>
    </row>
    <row r="22" spans="1:14" ht="13.5" thickBot="1">
      <c r="A22" s="127"/>
      <c r="B22" s="84"/>
      <c r="C22" s="85">
        <f>+C21+C20</f>
        <v>2764.31</v>
      </c>
      <c r="D22" s="86">
        <f>+D21+D20</f>
        <v>1879.7307999999998</v>
      </c>
      <c r="E22" s="86">
        <f>+E21+E20</f>
        <v>331.71719999999999</v>
      </c>
      <c r="F22" s="87">
        <f>+F21+F20</f>
        <v>552.86200000000008</v>
      </c>
      <c r="I22" s="127"/>
      <c r="J22" s="84"/>
      <c r="K22" s="85">
        <f>+K21+K20</f>
        <v>4610.6400000000003</v>
      </c>
      <c r="L22" s="86">
        <f>+L21+L20</f>
        <v>3135.2352000000001</v>
      </c>
      <c r="M22" s="86">
        <f>+M21+M20</f>
        <v>553.27680000000009</v>
      </c>
      <c r="N22" s="87">
        <f>+N21+N20</f>
        <v>922.12800000000016</v>
      </c>
    </row>
    <row r="23" spans="1:14">
      <c r="A23" s="207">
        <f>+A20+1</f>
        <v>42344</v>
      </c>
      <c r="B23" s="83"/>
      <c r="C23" s="80">
        <f>+'SALES SUMMARY'!AF24</f>
        <v>2695.84</v>
      </c>
      <c r="D23" s="81">
        <f>(C23*0.8)*0.85</f>
        <v>1833.1712</v>
      </c>
      <c r="E23" s="81">
        <f>(C23*0.8)*0.15</f>
        <v>323.50079999999997</v>
      </c>
      <c r="F23" s="82">
        <f>C23*0.2</f>
        <v>539.16800000000001</v>
      </c>
      <c r="I23" s="123">
        <f>+I20+1</f>
        <v>42359</v>
      </c>
      <c r="J23" s="83"/>
      <c r="K23" s="80">
        <f>+'SALES SUMMARY'!AF69</f>
        <v>0</v>
      </c>
      <c r="L23" s="81">
        <f>(K23*0.8)*0.85</f>
        <v>0</v>
      </c>
      <c r="M23" s="81">
        <f>(K23*0.8)*0.15</f>
        <v>0</v>
      </c>
      <c r="N23" s="82">
        <f>K23*0.2</f>
        <v>0</v>
      </c>
    </row>
    <row r="24" spans="1:14" ht="13.5" thickBot="1">
      <c r="A24" s="208"/>
      <c r="B24" s="83"/>
      <c r="C24" s="80">
        <f>+'SALES SUMMARY'!AF25</f>
        <v>1936.37</v>
      </c>
      <c r="D24" s="81">
        <f>(C24*0.8)*0.85</f>
        <v>1316.7316000000001</v>
      </c>
      <c r="E24" s="81">
        <f>(C24*0.8)*0.15</f>
        <v>232.36439999999999</v>
      </c>
      <c r="F24" s="82">
        <f>C24*0.2</f>
        <v>387.274</v>
      </c>
      <c r="I24" s="124"/>
      <c r="J24" s="83"/>
      <c r="K24" s="80">
        <f>+'SALES SUMMARY'!AF70</f>
        <v>294.19</v>
      </c>
      <c r="L24" s="81">
        <f>(K24*0.8)*0.85</f>
        <v>200.04919999999998</v>
      </c>
      <c r="M24" s="81">
        <f>(K24*0.8)*0.15</f>
        <v>35.302799999999998</v>
      </c>
      <c r="N24" s="82">
        <f>K24*0.2</f>
        <v>58.838000000000001</v>
      </c>
    </row>
    <row r="25" spans="1:14" ht="13.5" thickBot="1">
      <c r="A25" s="127"/>
      <c r="B25" s="84"/>
      <c r="C25" s="85">
        <f>+C24+C23</f>
        <v>4632.21</v>
      </c>
      <c r="D25" s="86">
        <f>+D24+D23</f>
        <v>3149.9027999999998</v>
      </c>
      <c r="E25" s="86">
        <f>+E24+E23</f>
        <v>555.86519999999996</v>
      </c>
      <c r="F25" s="87">
        <f>+F24+F23</f>
        <v>926.44200000000001</v>
      </c>
      <c r="G25" s="128"/>
      <c r="I25" s="127"/>
      <c r="J25" s="84"/>
      <c r="K25" s="85">
        <f>+K24+K23</f>
        <v>294.19</v>
      </c>
      <c r="L25" s="86">
        <f>+L24+L23</f>
        <v>200.04919999999998</v>
      </c>
      <c r="M25" s="86">
        <f>+M24+M23</f>
        <v>35.302799999999998</v>
      </c>
      <c r="N25" s="87">
        <f>+N24+N23</f>
        <v>58.838000000000001</v>
      </c>
    </row>
    <row r="26" spans="1:14">
      <c r="A26" s="207">
        <f>+A23+1</f>
        <v>42345</v>
      </c>
      <c r="B26" s="83"/>
      <c r="C26" s="80">
        <f>+'SALES SUMMARY'!AF27</f>
        <v>0</v>
      </c>
      <c r="D26" s="81">
        <f>(C26*0.8)*0.85</f>
        <v>0</v>
      </c>
      <c r="E26" s="81">
        <f>(C26*0.8)*0.15</f>
        <v>0</v>
      </c>
      <c r="F26" s="82">
        <f>C26*0.2</f>
        <v>0</v>
      </c>
      <c r="I26" s="123">
        <f>+I23+1</f>
        <v>42360</v>
      </c>
      <c r="J26" s="83"/>
      <c r="K26" s="80">
        <f>+'SALES SUMMARY'!AF72</f>
        <v>0</v>
      </c>
      <c r="L26" s="81">
        <f>(K26*0.8)*0.85</f>
        <v>0</v>
      </c>
      <c r="M26" s="81">
        <f>(K26*0.8)*0.15</f>
        <v>0</v>
      </c>
      <c r="N26" s="82">
        <f>K26*0.2</f>
        <v>0</v>
      </c>
    </row>
    <row r="27" spans="1:14" ht="13.5" thickBot="1">
      <c r="A27" s="208"/>
      <c r="B27" s="83"/>
      <c r="C27" s="80">
        <f>+'SALES SUMMARY'!AF28</f>
        <v>2842.86</v>
      </c>
      <c r="D27" s="81">
        <f>(C27*0.8)*0.85</f>
        <v>1933.1448</v>
      </c>
      <c r="E27" s="81">
        <f>(C27*0.8)*0.15</f>
        <v>341.14319999999998</v>
      </c>
      <c r="F27" s="82">
        <f>C27*0.2</f>
        <v>568.572</v>
      </c>
      <c r="I27" s="124"/>
      <c r="J27" s="83"/>
      <c r="K27" s="80">
        <f>+'SALES SUMMARY'!AF73</f>
        <v>0</v>
      </c>
      <c r="L27" s="81">
        <f>(K27*0.8)*0.85</f>
        <v>0</v>
      </c>
      <c r="M27" s="81">
        <f>(K27*0.8)*0.15</f>
        <v>0</v>
      </c>
      <c r="N27" s="82">
        <f>K27*0.2</f>
        <v>0</v>
      </c>
    </row>
    <row r="28" spans="1:14" ht="13.5" thickBot="1">
      <c r="A28" s="127"/>
      <c r="B28" s="84"/>
      <c r="C28" s="85">
        <f>+C27+C26</f>
        <v>2842.86</v>
      </c>
      <c r="D28" s="86">
        <f>+D27+D26</f>
        <v>1933.1448</v>
      </c>
      <c r="E28" s="86">
        <f>+E27+E26</f>
        <v>341.14319999999998</v>
      </c>
      <c r="F28" s="87">
        <f>+F27+F26</f>
        <v>568.572</v>
      </c>
      <c r="I28" s="127"/>
      <c r="J28" s="84"/>
      <c r="K28" s="85">
        <f>+K27+K26</f>
        <v>0</v>
      </c>
      <c r="L28" s="86">
        <f>+L27+L26</f>
        <v>0</v>
      </c>
      <c r="M28" s="86">
        <f>+M27+M26</f>
        <v>0</v>
      </c>
      <c r="N28" s="87">
        <f>+N27+N26</f>
        <v>0</v>
      </c>
    </row>
    <row r="29" spans="1:14">
      <c r="A29" s="207">
        <f>+A26+1</f>
        <v>42346</v>
      </c>
      <c r="B29" s="83"/>
      <c r="C29" s="80">
        <f>+'SALES SUMMARY'!AF30</f>
        <v>0</v>
      </c>
      <c r="D29" s="81">
        <f>(C29*0.8)*0.85</f>
        <v>0</v>
      </c>
      <c r="E29" s="81">
        <f>(C29*0.8)*0.15</f>
        <v>0</v>
      </c>
      <c r="F29" s="82">
        <f>C29*0.2</f>
        <v>0</v>
      </c>
      <c r="I29" s="123">
        <f>+I26+1</f>
        <v>42361</v>
      </c>
      <c r="J29" s="83"/>
      <c r="K29" s="80">
        <f>+'SALES SUMMARY'!AF75</f>
        <v>1029.79</v>
      </c>
      <c r="L29" s="81">
        <f>(K29*0.8)*0.85</f>
        <v>700.25720000000001</v>
      </c>
      <c r="M29" s="81">
        <f>(K29*0.8)*0.15</f>
        <v>123.5748</v>
      </c>
      <c r="N29" s="82">
        <f>K29*0.2</f>
        <v>205.958</v>
      </c>
    </row>
    <row r="30" spans="1:14" ht="13.5" thickBot="1">
      <c r="A30" s="208"/>
      <c r="B30" s="83"/>
      <c r="C30" s="80">
        <f>+'SALES SUMMARY'!AF31</f>
        <v>0</v>
      </c>
      <c r="D30" s="81">
        <f>(C30*0.8)*0.85</f>
        <v>0</v>
      </c>
      <c r="E30" s="81">
        <f>(C30*0.8)*0.15</f>
        <v>0</v>
      </c>
      <c r="F30" s="82">
        <f>C30*0.2</f>
        <v>0</v>
      </c>
      <c r="I30" s="124"/>
      <c r="J30" s="83"/>
      <c r="K30" s="80">
        <f>+'SALES SUMMARY'!AF76</f>
        <v>833.3</v>
      </c>
      <c r="L30" s="81">
        <f>(K30*0.8)*0.85</f>
        <v>566.64400000000001</v>
      </c>
      <c r="M30" s="81">
        <f>(K30*0.8)*0.15</f>
        <v>99.995999999999995</v>
      </c>
      <c r="N30" s="82">
        <f>K30*0.2</f>
        <v>166.66</v>
      </c>
    </row>
    <row r="31" spans="1:14" ht="13.5" thickBot="1">
      <c r="A31" s="127"/>
      <c r="B31" s="84"/>
      <c r="C31" s="85">
        <f>+C30+C29</f>
        <v>0</v>
      </c>
      <c r="D31" s="86">
        <f>+D30+D29</f>
        <v>0</v>
      </c>
      <c r="E31" s="86">
        <f>+E30+E29</f>
        <v>0</v>
      </c>
      <c r="F31" s="87">
        <f>+F30+F29</f>
        <v>0</v>
      </c>
      <c r="I31" s="127"/>
      <c r="J31" s="84"/>
      <c r="K31" s="85">
        <f>+K30+K29</f>
        <v>1863.09</v>
      </c>
      <c r="L31" s="86">
        <f>+L30+L29</f>
        <v>1266.9012</v>
      </c>
      <c r="M31" s="86">
        <f>+M30+M29</f>
        <v>223.57079999999999</v>
      </c>
      <c r="N31" s="87">
        <f>+N30+N29</f>
        <v>372.61799999999999</v>
      </c>
    </row>
    <row r="32" spans="1:14">
      <c r="A32" s="207">
        <f>+A29+1</f>
        <v>42347</v>
      </c>
      <c r="B32" s="83"/>
      <c r="C32" s="80">
        <f>+'SALES SUMMARY'!AF33</f>
        <v>0</v>
      </c>
      <c r="D32" s="81">
        <f>(C32*0.8)*0.85</f>
        <v>0</v>
      </c>
      <c r="E32" s="81">
        <f>(C32*0.8)*0.15</f>
        <v>0</v>
      </c>
      <c r="F32" s="82">
        <f>C32*0.2</f>
        <v>0</v>
      </c>
      <c r="I32" s="123">
        <f>+I29+1</f>
        <v>42362</v>
      </c>
      <c r="J32" s="83"/>
      <c r="K32" s="80">
        <f>+'SALES SUMMARY'!AF78</f>
        <v>1762.14</v>
      </c>
      <c r="L32" s="81">
        <f>(K32*0.8)*0.85</f>
        <v>1198.2552000000001</v>
      </c>
      <c r="M32" s="81">
        <f>(K32*0.8)*0.15</f>
        <v>211.45680000000002</v>
      </c>
      <c r="N32" s="82">
        <f>K32*0.2</f>
        <v>352.42800000000005</v>
      </c>
    </row>
    <row r="33" spans="1:18" ht="13.5" thickBot="1">
      <c r="A33" s="208"/>
      <c r="B33" s="83"/>
      <c r="C33" s="80">
        <f>+'SALES SUMMARY'!AF34</f>
        <v>0</v>
      </c>
      <c r="D33" s="81">
        <f>(C33*0.8)*0.85</f>
        <v>0</v>
      </c>
      <c r="E33" s="81">
        <f>(C33*0.8)*0.15</f>
        <v>0</v>
      </c>
      <c r="F33" s="82">
        <f>C33*0.2</f>
        <v>0</v>
      </c>
      <c r="I33" s="124"/>
      <c r="J33" s="83"/>
      <c r="K33" s="80">
        <f>+'SALES SUMMARY'!AF79</f>
        <v>1060.3599999999999</v>
      </c>
      <c r="L33" s="81">
        <f>(K33*0.8)*0.85</f>
        <v>721.04480000000001</v>
      </c>
      <c r="M33" s="81">
        <f>(K33*0.8)*0.15</f>
        <v>127.2432</v>
      </c>
      <c r="N33" s="82">
        <f>K33*0.2</f>
        <v>212.072</v>
      </c>
    </row>
    <row r="34" spans="1:18" ht="13.5" thickBot="1">
      <c r="A34" s="127"/>
      <c r="B34" s="84"/>
      <c r="C34" s="85">
        <f>+C33+C32</f>
        <v>0</v>
      </c>
      <c r="D34" s="86">
        <f>+D33+D32</f>
        <v>0</v>
      </c>
      <c r="E34" s="86">
        <f>+E33+E32</f>
        <v>0</v>
      </c>
      <c r="F34" s="87">
        <f>+F33+F32</f>
        <v>0</v>
      </c>
      <c r="G34" s="128"/>
      <c r="I34" s="127"/>
      <c r="J34" s="84"/>
      <c r="K34" s="85">
        <f>+K33+K32</f>
        <v>2822.5</v>
      </c>
      <c r="L34" s="86">
        <f>+L33+L32</f>
        <v>1919.3000000000002</v>
      </c>
      <c r="M34" s="86">
        <f>+M33+M32</f>
        <v>338.70000000000005</v>
      </c>
      <c r="N34" s="87">
        <f>+N33+N32</f>
        <v>564.5</v>
      </c>
    </row>
    <row r="35" spans="1:18">
      <c r="A35" s="207">
        <f>+A32+1</f>
        <v>42348</v>
      </c>
      <c r="B35" s="83"/>
      <c r="C35" s="80">
        <f>+'SALES SUMMARY'!AF36</f>
        <v>1589.52</v>
      </c>
      <c r="D35" s="81">
        <f>(C35*0.8)*0.85</f>
        <v>1080.8735999999999</v>
      </c>
      <c r="E35" s="81">
        <f>(C35*0.8)*0.15</f>
        <v>190.7424</v>
      </c>
      <c r="F35" s="82">
        <f>C35*0.2</f>
        <v>317.904</v>
      </c>
      <c r="I35" s="123">
        <f>+I32+1</f>
        <v>42363</v>
      </c>
      <c r="J35" s="83"/>
      <c r="K35" s="80">
        <f>+'SALES SUMMARY'!AF81</f>
        <v>1653.26</v>
      </c>
      <c r="L35" s="81">
        <f>(K35*0.8)*0.85</f>
        <v>1124.2168000000001</v>
      </c>
      <c r="M35" s="81">
        <f>(K35*0.8)*0.15</f>
        <v>198.39120000000003</v>
      </c>
      <c r="N35" s="82">
        <f>K35*0.2</f>
        <v>330.65200000000004</v>
      </c>
    </row>
    <row r="36" spans="1:18" ht="13.5" thickBot="1">
      <c r="A36" s="208"/>
      <c r="B36" s="83"/>
      <c r="C36" s="80">
        <f>+'SALES SUMMARY'!AF37</f>
        <v>686.33</v>
      </c>
      <c r="D36" s="81">
        <f>(C36*0.8)*0.85</f>
        <v>466.70440000000008</v>
      </c>
      <c r="E36" s="81">
        <f>(C36*0.8)*0.15</f>
        <v>82.359600000000015</v>
      </c>
      <c r="F36" s="82">
        <f>C36*0.2</f>
        <v>137.26600000000002</v>
      </c>
      <c r="I36" s="124"/>
      <c r="J36" s="83"/>
      <c r="K36" s="80">
        <f>+'SALES SUMMARY'!AF82</f>
        <v>941.37</v>
      </c>
      <c r="L36" s="81">
        <f>(K36*0.8)*0.85</f>
        <v>640.13159999999993</v>
      </c>
      <c r="M36" s="81">
        <f>(K36*0.8)*0.15</f>
        <v>112.9644</v>
      </c>
      <c r="N36" s="82">
        <f>K36*0.2</f>
        <v>188.274</v>
      </c>
    </row>
    <row r="37" spans="1:18" ht="13.5" thickBot="1">
      <c r="A37" s="127"/>
      <c r="B37" s="84"/>
      <c r="C37" s="85">
        <f>+C36+C35</f>
        <v>2275.85</v>
      </c>
      <c r="D37" s="86">
        <f>+D36+D35</f>
        <v>1547.578</v>
      </c>
      <c r="E37" s="86">
        <f>+E36+E35</f>
        <v>273.10200000000003</v>
      </c>
      <c r="F37" s="87">
        <f>+F36+F35</f>
        <v>455.17</v>
      </c>
      <c r="G37" s="128"/>
      <c r="I37" s="127"/>
      <c r="J37" s="84"/>
      <c r="K37" s="85">
        <f>+K36+K35</f>
        <v>2594.63</v>
      </c>
      <c r="L37" s="86">
        <f>+L36+L35</f>
        <v>1764.3484000000001</v>
      </c>
      <c r="M37" s="86">
        <f>+M36+M35</f>
        <v>311.35560000000004</v>
      </c>
      <c r="N37" s="87">
        <f>+N36+N35</f>
        <v>518.92600000000004</v>
      </c>
    </row>
    <row r="38" spans="1:18" ht="15">
      <c r="A38" s="207">
        <f>+A35+1</f>
        <v>42349</v>
      </c>
      <c r="B38" s="83"/>
      <c r="C38" s="80">
        <f>+'SALES SUMMARY'!AF39</f>
        <v>1082.58</v>
      </c>
      <c r="D38" s="81">
        <f>(C38*0.8)*0.85</f>
        <v>736.1543999999999</v>
      </c>
      <c r="E38" s="81">
        <f>(C38*0.8)*0.15</f>
        <v>129.90959999999998</v>
      </c>
      <c r="F38" s="82">
        <f>C38*0.2</f>
        <v>216.51599999999999</v>
      </c>
      <c r="I38" s="123">
        <f>+I35+1</f>
        <v>42364</v>
      </c>
      <c r="J38" s="83"/>
      <c r="K38" s="80">
        <f>+'SALES SUMMARY'!AF84</f>
        <v>727.44</v>
      </c>
      <c r="L38" s="81">
        <f>(K38*0.8)*0.85</f>
        <v>494.65920000000006</v>
      </c>
      <c r="M38" s="81">
        <f>(K38*0.8)*0.15</f>
        <v>87.292800000000014</v>
      </c>
      <c r="N38" s="82">
        <f>K38*0.2</f>
        <v>145.48800000000003</v>
      </c>
      <c r="R38" s="129"/>
    </row>
    <row r="39" spans="1:18" ht="13.5" thickBot="1">
      <c r="A39" s="208"/>
      <c r="B39" s="83"/>
      <c r="C39" s="80">
        <f>+'SALES SUMMARY'!AF40</f>
        <v>1350.86</v>
      </c>
      <c r="D39" s="81">
        <f>(C39*0.8)*0.85</f>
        <v>918.58479999999986</v>
      </c>
      <c r="E39" s="81">
        <f>(C39*0.8)*0.15</f>
        <v>162.10319999999999</v>
      </c>
      <c r="F39" s="82">
        <f>C39*0.2</f>
        <v>270.17199999999997</v>
      </c>
      <c r="I39" s="124"/>
      <c r="J39" s="83"/>
      <c r="K39" s="80">
        <f>+'SALES SUMMARY'!AF85</f>
        <v>1577.89</v>
      </c>
      <c r="L39" s="81">
        <f>(K39*0.8)*0.85</f>
        <v>1072.9652000000001</v>
      </c>
      <c r="M39" s="81">
        <f>(K39*0.8)*0.15</f>
        <v>189.3468</v>
      </c>
      <c r="N39" s="82">
        <f>K39*0.2</f>
        <v>315.57800000000003</v>
      </c>
    </row>
    <row r="40" spans="1:18" ht="13.5" thickBot="1">
      <c r="A40" s="127"/>
      <c r="B40" s="84"/>
      <c r="C40" s="85">
        <f>+C39+C38</f>
        <v>2433.4399999999996</v>
      </c>
      <c r="D40" s="86">
        <f>+D39+D38</f>
        <v>1654.7391999999998</v>
      </c>
      <c r="E40" s="86">
        <f>+E39+E38</f>
        <v>292.01279999999997</v>
      </c>
      <c r="F40" s="87">
        <f>+F39+F38</f>
        <v>486.68799999999999</v>
      </c>
      <c r="I40" s="127"/>
      <c r="J40" s="84"/>
      <c r="K40" s="85">
        <f>+K39+K38</f>
        <v>2305.33</v>
      </c>
      <c r="L40" s="86">
        <f>+L39+L38</f>
        <v>1567.6244000000002</v>
      </c>
      <c r="M40" s="86">
        <f>+M39+M38</f>
        <v>276.63960000000003</v>
      </c>
      <c r="N40" s="87">
        <f>+N39+N38</f>
        <v>461.06600000000003</v>
      </c>
    </row>
    <row r="41" spans="1:18">
      <c r="A41" s="207">
        <f>+A38+1</f>
        <v>42350</v>
      </c>
      <c r="B41" s="79"/>
      <c r="C41" s="80">
        <f>+'SALES SUMMARY'!AF42</f>
        <v>1759.19</v>
      </c>
      <c r="D41" s="81">
        <f>(C41*0.8)*0.85</f>
        <v>1196.2492</v>
      </c>
      <c r="E41" s="81">
        <f>(C41*0.8)*0.15</f>
        <v>211.1028</v>
      </c>
      <c r="F41" s="82">
        <f>C41*0.2</f>
        <v>351.83800000000002</v>
      </c>
      <c r="I41" s="123">
        <f>+I38+1</f>
        <v>42365</v>
      </c>
      <c r="J41" s="79"/>
      <c r="K41" s="80">
        <f>+'SALES SUMMARY'!AF87</f>
        <v>2418.09</v>
      </c>
      <c r="L41" s="81">
        <f>(K41*0.8)*0.85</f>
        <v>1644.3012000000001</v>
      </c>
      <c r="M41" s="81">
        <f>(K41*0.8)*0.15</f>
        <v>290.17080000000004</v>
      </c>
      <c r="N41" s="82">
        <f>K41*0.2</f>
        <v>483.61800000000005</v>
      </c>
    </row>
    <row r="42" spans="1:18" ht="13.5" thickBot="1">
      <c r="A42" s="208"/>
      <c r="B42" s="83"/>
      <c r="C42" s="80">
        <f>+'SALES SUMMARY'!AF43</f>
        <v>1087.4000000000001</v>
      </c>
      <c r="D42" s="81">
        <f>(C42*0.8)*0.85</f>
        <v>739.43200000000002</v>
      </c>
      <c r="E42" s="81">
        <f>(C42*0.8)*0.15</f>
        <v>130.488</v>
      </c>
      <c r="F42" s="82">
        <f>C42*0.2</f>
        <v>217.48000000000002</v>
      </c>
      <c r="I42" s="124"/>
      <c r="J42" s="83"/>
      <c r="K42" s="80">
        <f>+'SALES SUMMARY'!AF88</f>
        <v>1527.93</v>
      </c>
      <c r="L42" s="81">
        <f>(K42*0.8)*0.85</f>
        <v>1038.9924000000001</v>
      </c>
      <c r="M42" s="81">
        <f>(K42*0.8)*0.15</f>
        <v>183.35159999999999</v>
      </c>
      <c r="N42" s="82">
        <f>K42*0.2</f>
        <v>305.58600000000001</v>
      </c>
    </row>
    <row r="43" spans="1:18" ht="13.5" thickBot="1">
      <c r="A43" s="126"/>
      <c r="B43" s="84"/>
      <c r="C43" s="85">
        <f>+C42+C41</f>
        <v>2846.59</v>
      </c>
      <c r="D43" s="86">
        <f>+D42+D41</f>
        <v>1935.6812</v>
      </c>
      <c r="E43" s="86">
        <f>+E42+E41</f>
        <v>341.5908</v>
      </c>
      <c r="F43" s="87">
        <f>+F42+F41</f>
        <v>569.31799999999998</v>
      </c>
      <c r="I43" s="126"/>
      <c r="J43" s="84"/>
      <c r="K43" s="85">
        <f>+K42+K41</f>
        <v>3946.0200000000004</v>
      </c>
      <c r="L43" s="86">
        <f>+L42+L41</f>
        <v>2683.2936</v>
      </c>
      <c r="M43" s="86">
        <f>+M42+M41</f>
        <v>473.52240000000006</v>
      </c>
      <c r="N43" s="87">
        <f>+N42+N41</f>
        <v>789.20400000000006</v>
      </c>
    </row>
    <row r="44" spans="1:18">
      <c r="A44" s="207">
        <f>+A41+1</f>
        <v>42351</v>
      </c>
      <c r="B44" s="83"/>
      <c r="C44" s="80">
        <f>+'SALES SUMMARY'!AF45</f>
        <v>2925.3</v>
      </c>
      <c r="D44" s="81">
        <f>(C44*0.8)*0.85</f>
        <v>1989.2040000000002</v>
      </c>
      <c r="E44" s="81">
        <f>(C44*0.8)*0.15</f>
        <v>351.036</v>
      </c>
      <c r="F44" s="82">
        <f>C44*0.2</f>
        <v>585.06000000000006</v>
      </c>
      <c r="I44" s="123">
        <f>+I41+1</f>
        <v>42366</v>
      </c>
      <c r="J44" s="83"/>
      <c r="K44" s="80">
        <f>+'SALES SUMMARY'!AF90</f>
        <v>0</v>
      </c>
      <c r="L44" s="81">
        <f>(K44*0.8)*0.85</f>
        <v>0</v>
      </c>
      <c r="M44" s="81">
        <f>(K44*0.8)*0.15</f>
        <v>0</v>
      </c>
      <c r="N44" s="82">
        <f>K44*0.2</f>
        <v>0</v>
      </c>
    </row>
    <row r="45" spans="1:18" ht="13.5" thickBot="1">
      <c r="A45" s="208"/>
      <c r="B45" s="83"/>
      <c r="C45" s="80">
        <f>+'SALES SUMMARY'!AF46</f>
        <v>3134.46</v>
      </c>
      <c r="D45" s="81">
        <f>(C45*0.8)*0.85</f>
        <v>2131.4328</v>
      </c>
      <c r="E45" s="81">
        <f>(C45*0.8)*0.15</f>
        <v>376.1352</v>
      </c>
      <c r="F45" s="82">
        <f>C45*0.2</f>
        <v>626.89200000000005</v>
      </c>
      <c r="I45" s="124"/>
      <c r="J45" s="83"/>
      <c r="K45" s="80">
        <f>+'SALES SUMMARY'!AF91</f>
        <v>766.51</v>
      </c>
      <c r="L45" s="81">
        <f>(K45*0.8)*0.85</f>
        <v>521.22679999999991</v>
      </c>
      <c r="M45" s="81">
        <f>(K45*0.8)*0.15</f>
        <v>91.981199999999987</v>
      </c>
      <c r="N45" s="82">
        <f>K45*0.2</f>
        <v>153.30199999999999</v>
      </c>
      <c r="R45" s="83"/>
    </row>
    <row r="46" spans="1:18" ht="13.5" thickBot="1">
      <c r="A46" s="126"/>
      <c r="B46" s="84"/>
      <c r="C46" s="85">
        <f>+C45+C44</f>
        <v>6059.76</v>
      </c>
      <c r="D46" s="86">
        <f>+D45+D44</f>
        <v>4120.6368000000002</v>
      </c>
      <c r="E46" s="86">
        <f>+E45+E44</f>
        <v>727.1712</v>
      </c>
      <c r="F46" s="87">
        <f>+F45+F44</f>
        <v>1211.9520000000002</v>
      </c>
      <c r="G46" s="128"/>
      <c r="I46" s="126"/>
      <c r="J46" s="84"/>
      <c r="K46" s="85">
        <f>+K45+K44</f>
        <v>766.51</v>
      </c>
      <c r="L46" s="86">
        <f>+L45+L44</f>
        <v>521.22679999999991</v>
      </c>
      <c r="M46" s="86">
        <f>+M45+M44</f>
        <v>91.981199999999987</v>
      </c>
      <c r="N46" s="87">
        <f>+N45+N44</f>
        <v>153.30199999999999</v>
      </c>
    </row>
    <row r="47" spans="1:18">
      <c r="A47" s="207">
        <f>+A44+1</f>
        <v>42352</v>
      </c>
      <c r="B47" s="83"/>
      <c r="C47" s="80">
        <f>+'SALES SUMMARY'!AF48</f>
        <v>0</v>
      </c>
      <c r="D47" s="81">
        <f>(C47*0.8)*0.85</f>
        <v>0</v>
      </c>
      <c r="E47" s="81">
        <f>(C47*0.8)*0.15</f>
        <v>0</v>
      </c>
      <c r="F47" s="82">
        <f>C47*0.2</f>
        <v>0</v>
      </c>
      <c r="I47" s="123">
        <f>+I44+1</f>
        <v>42367</v>
      </c>
      <c r="J47" s="83"/>
      <c r="K47" s="80">
        <f>+'SALES SUMMARY'!AF93</f>
        <v>0</v>
      </c>
      <c r="L47" s="81">
        <f>(K47*0.8)*0.85</f>
        <v>0</v>
      </c>
      <c r="M47" s="81">
        <f>(K47*0.8)*0.15</f>
        <v>0</v>
      </c>
      <c r="N47" s="82">
        <f>K47*0.2</f>
        <v>0</v>
      </c>
    </row>
    <row r="48" spans="1:18" ht="13.5" thickBot="1">
      <c r="A48" s="208"/>
      <c r="B48" s="83"/>
      <c r="C48" s="80">
        <f>+'SALES SUMMARY'!AF49</f>
        <v>739.84</v>
      </c>
      <c r="D48" s="81">
        <f>(C48*0.8)*0.85</f>
        <v>503.09120000000007</v>
      </c>
      <c r="E48" s="81">
        <f>(C48*0.8)*0.15</f>
        <v>88.780800000000013</v>
      </c>
      <c r="F48" s="82">
        <f>C48*0.2</f>
        <v>147.96800000000002</v>
      </c>
      <c r="I48" s="124"/>
      <c r="J48" s="83"/>
      <c r="K48" s="80">
        <f>+'SALES SUMMARY'!AF94</f>
        <v>0</v>
      </c>
      <c r="L48" s="81">
        <f>(K48*0.8)*0.85</f>
        <v>0</v>
      </c>
      <c r="M48" s="81">
        <f>(K48*0.8)*0.15</f>
        <v>0</v>
      </c>
      <c r="N48" s="82">
        <f>K48*0.2</f>
        <v>0</v>
      </c>
    </row>
    <row r="49" spans="1:16" ht="13.5" thickBot="1">
      <c r="A49" s="126"/>
      <c r="B49" s="84"/>
      <c r="C49" s="85">
        <f>+C48+C47</f>
        <v>739.84</v>
      </c>
      <c r="D49" s="86">
        <f>+D48+D47</f>
        <v>503.09120000000007</v>
      </c>
      <c r="E49" s="86">
        <f>+E48+E47</f>
        <v>88.780800000000013</v>
      </c>
      <c r="F49" s="87">
        <f>+F48+F47</f>
        <v>147.96800000000002</v>
      </c>
      <c r="G49" s="128"/>
      <c r="H49" s="128"/>
      <c r="I49" s="126"/>
      <c r="J49" s="84"/>
      <c r="K49" s="85">
        <f>+K48+K47</f>
        <v>0</v>
      </c>
      <c r="L49" s="86">
        <f>+L48+L47</f>
        <v>0</v>
      </c>
      <c r="M49" s="86">
        <f>+M48+M47</f>
        <v>0</v>
      </c>
      <c r="N49" s="87">
        <f>+N48+N47</f>
        <v>0</v>
      </c>
    </row>
    <row r="50" spans="1:16">
      <c r="A50" s="207">
        <f>+A47+1</f>
        <v>42353</v>
      </c>
      <c r="B50" s="83"/>
      <c r="C50" s="80">
        <f>+'SALES SUMMARY'!AF51</f>
        <v>0</v>
      </c>
      <c r="D50" s="81">
        <f>(C50*0.8)*0.85</f>
        <v>0</v>
      </c>
      <c r="E50" s="81">
        <f>(C50*0.8)*0.15</f>
        <v>0</v>
      </c>
      <c r="F50" s="82">
        <f>C50*0.2</f>
        <v>0</v>
      </c>
      <c r="I50" s="123">
        <f>+I47+1</f>
        <v>42368</v>
      </c>
      <c r="J50" s="83"/>
      <c r="K50" s="80">
        <f>+'SALES SUMMARY'!AF96</f>
        <v>929.29</v>
      </c>
      <c r="L50" s="81">
        <f>(K50*0.8)*0.85</f>
        <v>631.91719999999998</v>
      </c>
      <c r="M50" s="81">
        <f>(K50*0.8)*0.15</f>
        <v>111.51479999999999</v>
      </c>
      <c r="N50" s="82">
        <f>K50*0.2</f>
        <v>185.858</v>
      </c>
    </row>
    <row r="51" spans="1:16" ht="13.5" thickBot="1">
      <c r="A51" s="208"/>
      <c r="B51" s="83"/>
      <c r="C51" s="80">
        <f>+'SALES SUMMARY'!AF52</f>
        <v>0</v>
      </c>
      <c r="D51" s="81">
        <f>(C51*0.8)*0.85</f>
        <v>0</v>
      </c>
      <c r="E51" s="81">
        <f>(C51*0.8)*0.15</f>
        <v>0</v>
      </c>
      <c r="F51" s="82">
        <f>C51*0.2</f>
        <v>0</v>
      </c>
      <c r="I51" s="124"/>
      <c r="J51" s="83"/>
      <c r="K51" s="80">
        <f>+'SALES SUMMARY'!AF97</f>
        <v>1026.42</v>
      </c>
      <c r="L51" s="81">
        <f>(K51*0.8)*0.85</f>
        <v>697.96559999999999</v>
      </c>
      <c r="M51" s="81">
        <f>(K51*0.8)*0.15</f>
        <v>123.1704</v>
      </c>
      <c r="N51" s="82">
        <f>K51*0.2</f>
        <v>205.28400000000002</v>
      </c>
    </row>
    <row r="52" spans="1:16" ht="13.5" thickBot="1">
      <c r="A52" s="126"/>
      <c r="B52" s="84"/>
      <c r="C52" s="85">
        <f>+C51+C50</f>
        <v>0</v>
      </c>
      <c r="D52" s="86">
        <f>+D51+D50</f>
        <v>0</v>
      </c>
      <c r="E52" s="86">
        <f>+E51+E50</f>
        <v>0</v>
      </c>
      <c r="F52" s="87">
        <f>+F51+F50</f>
        <v>0</v>
      </c>
      <c r="G52" s="128"/>
      <c r="H52" s="128"/>
      <c r="I52" s="126"/>
      <c r="J52" s="84"/>
      <c r="K52" s="85">
        <f>+K51+K50</f>
        <v>1955.71</v>
      </c>
      <c r="L52" s="86">
        <f>+L51+L50</f>
        <v>1329.8827999999999</v>
      </c>
      <c r="M52" s="86">
        <f>+M51+M50</f>
        <v>234.68520000000001</v>
      </c>
      <c r="N52" s="87">
        <f>+N51+N50</f>
        <v>391.14200000000005</v>
      </c>
    </row>
    <row r="53" spans="1:16" ht="13.5" thickBot="1">
      <c r="C53" s="88"/>
      <c r="D53" s="88"/>
      <c r="E53" s="88"/>
      <c r="F53" s="82"/>
      <c r="I53" s="123">
        <f>+I50+1</f>
        <v>42369</v>
      </c>
      <c r="J53" s="83"/>
      <c r="K53" s="80">
        <f>+'SALES SUMMARY'!AF99</f>
        <v>0</v>
      </c>
      <c r="L53" s="81">
        <f>(K53*0.8)*0.85</f>
        <v>0</v>
      </c>
      <c r="M53" s="81">
        <f>(K53*0.8)*0.15</f>
        <v>0</v>
      </c>
      <c r="N53" s="82">
        <f>K53*0.2</f>
        <v>0</v>
      </c>
    </row>
    <row r="54" spans="1:16" ht="14.25" thickTop="1" thickBot="1">
      <c r="A54" s="89" t="s">
        <v>45</v>
      </c>
      <c r="B54" s="89"/>
      <c r="C54" s="90">
        <f>C10+C13+C16+C19+C22+C25+C28+C31+C34+C37+C40+C43+C46+C49+C52</f>
        <v>30381.73</v>
      </c>
      <c r="D54" s="90">
        <f>D10+D13+D16+D19+D22+D25+D28+D31+D34+D37+D40+D43+D46+D49+D52</f>
        <v>20659.576399999998</v>
      </c>
      <c r="E54" s="90">
        <f>E10+E13+E16+E19+E22+E25+E28+E31+E34+E37+E40+E43+E46+E49+E52</f>
        <v>3645.8075999999996</v>
      </c>
      <c r="F54" s="90">
        <f>F10+F13+F16+F19+F22+F25+F28+F31+F34+F37+F40+F43+F46+F49+F52</f>
        <v>6076.3460000000005</v>
      </c>
      <c r="I54" s="124"/>
      <c r="J54" s="83"/>
      <c r="K54" s="80">
        <f>+'SALES SUMMARY'!AF100</f>
        <v>0</v>
      </c>
      <c r="L54" s="81">
        <f>(K54*0.8)*0.85</f>
        <v>0</v>
      </c>
      <c r="M54" s="81">
        <f>(K54*0.8)*0.15</f>
        <v>0</v>
      </c>
      <c r="N54" s="82">
        <f>K54*0.2</f>
        <v>0</v>
      </c>
    </row>
    <row r="55" spans="1:16" ht="14.25" thickTop="1" thickBot="1">
      <c r="C55" s="75" t="s">
        <v>1</v>
      </c>
      <c r="I55" s="126"/>
      <c r="J55" s="84"/>
      <c r="K55" s="85">
        <f>+K54+K53</f>
        <v>0</v>
      </c>
      <c r="L55" s="86">
        <f>+L54+L53</f>
        <v>0</v>
      </c>
      <c r="M55" s="86">
        <f>+M54+M53</f>
        <v>0</v>
      </c>
      <c r="N55" s="87">
        <f>+N54+N53</f>
        <v>0</v>
      </c>
    </row>
    <row r="56" spans="1:16" ht="13.5" thickBot="1">
      <c r="A56" s="91"/>
      <c r="B56" s="91"/>
      <c r="C56" s="91" t="s">
        <v>70</v>
      </c>
      <c r="D56" s="91"/>
      <c r="E56" s="91"/>
      <c r="F56" s="92">
        <f>D54</f>
        <v>20659.576399999998</v>
      </c>
      <c r="K56" s="88"/>
      <c r="L56" s="88"/>
      <c r="M56" s="88"/>
      <c r="N56" s="82"/>
    </row>
    <row r="57" spans="1:16" ht="14.25" thickTop="1" thickBot="1">
      <c r="A57" s="91"/>
      <c r="B57" s="91"/>
      <c r="C57" s="91"/>
      <c r="D57" s="91"/>
      <c r="E57" s="91"/>
      <c r="F57" s="91"/>
      <c r="H57" s="128"/>
      <c r="I57" s="89" t="s">
        <v>45</v>
      </c>
      <c r="J57" s="89"/>
      <c r="K57" s="90">
        <f>+K55+K52+K49+K46+K43+K40+K37+K34+K31+K28+K25+K22+K19+K16+K13+K10</f>
        <v>34409.630000000005</v>
      </c>
      <c r="L57" s="90">
        <f>+L10+L13+L16+L19+L22+L25+L28+L31+L34+L37+L40+L43+L46+L49+L52+L55</f>
        <v>23398.5484</v>
      </c>
      <c r="M57" s="90">
        <f>+M10+M13+M16+M19+M22+M25+M28+M31+M34+M37+M40+M43+M46+M49+M52+M55</f>
        <v>4129.1556</v>
      </c>
      <c r="N57" s="90">
        <f>+N10+N13+N16+N19+N22+N25+N28+N31+N34+N37+N40+N43+N46+N49+N52+N55</f>
        <v>6881.9259999999995</v>
      </c>
    </row>
    <row r="58" spans="1:16" ht="14.25" thickTop="1" thickBot="1">
      <c r="A58" s="91"/>
      <c r="B58" s="91"/>
      <c r="C58" s="91" t="s">
        <v>76</v>
      </c>
      <c r="D58" s="91"/>
      <c r="E58" s="91"/>
      <c r="F58" s="93"/>
      <c r="I58" s="91"/>
      <c r="J58" s="91"/>
      <c r="K58" s="91"/>
      <c r="L58" s="91"/>
      <c r="M58" s="91"/>
      <c r="N58" s="93"/>
    </row>
    <row r="59" spans="1:16" ht="14.25" thickTop="1" thickBot="1">
      <c r="A59" s="91"/>
      <c r="B59" s="91"/>
      <c r="C59" s="91" t="s">
        <v>77</v>
      </c>
      <c r="D59" s="91"/>
      <c r="E59" s="91"/>
      <c r="F59" s="93">
        <v>4580</v>
      </c>
      <c r="I59" s="91"/>
      <c r="J59" s="91" t="s">
        <v>70</v>
      </c>
      <c r="K59" s="91"/>
      <c r="L59" s="91"/>
      <c r="M59" s="130"/>
      <c r="N59" s="94">
        <f>L57</f>
        <v>23398.5484</v>
      </c>
    </row>
    <row r="60" spans="1:16" ht="14.25" thickTop="1" thickBot="1">
      <c r="A60" s="91"/>
      <c r="B60" s="91"/>
      <c r="C60" s="91" t="s">
        <v>78</v>
      </c>
      <c r="D60" s="91"/>
      <c r="E60" s="91"/>
      <c r="F60" s="93">
        <f>(F54-F59)*0.6</f>
        <v>897.80760000000021</v>
      </c>
      <c r="I60" s="91"/>
      <c r="J60" s="91"/>
      <c r="K60" s="91"/>
      <c r="L60" s="91"/>
      <c r="M60" s="131"/>
    </row>
    <row r="61" spans="1:16" ht="14.25" thickTop="1" thickBot="1">
      <c r="A61" s="91"/>
      <c r="B61" s="91"/>
      <c r="C61" s="91" t="s">
        <v>79</v>
      </c>
      <c r="D61" s="91"/>
      <c r="E61" s="91"/>
      <c r="F61" s="94">
        <f>+F59+F60</f>
        <v>5477.8076000000001</v>
      </c>
      <c r="I61" s="91"/>
      <c r="J61" s="91" t="s">
        <v>76</v>
      </c>
      <c r="K61" s="91"/>
      <c r="L61" s="91"/>
      <c r="M61" s="130"/>
      <c r="N61" s="128"/>
      <c r="P61" s="128"/>
    </row>
    <row r="62" spans="1:16" ht="13.5" thickTop="1">
      <c r="A62" s="91"/>
      <c r="B62" s="91"/>
      <c r="C62" s="91"/>
      <c r="D62" s="91"/>
      <c r="E62" s="91"/>
      <c r="F62" s="91"/>
      <c r="H62" s="128"/>
      <c r="I62" s="91"/>
      <c r="J62" s="91" t="s">
        <v>77</v>
      </c>
      <c r="K62" s="91"/>
      <c r="L62" s="91"/>
      <c r="M62" s="131"/>
      <c r="N62" s="132">
        <v>4580</v>
      </c>
    </row>
    <row r="63" spans="1:16" ht="13.5" thickBot="1">
      <c r="A63" s="91"/>
      <c r="B63" s="91"/>
      <c r="C63" s="91" t="s">
        <v>80</v>
      </c>
      <c r="D63" s="91"/>
      <c r="E63" s="91"/>
      <c r="F63" s="93">
        <f>E54</f>
        <v>3645.8075999999996</v>
      </c>
      <c r="I63" s="91"/>
      <c r="J63" s="91" t="s">
        <v>81</v>
      </c>
      <c r="K63" s="91"/>
      <c r="L63" s="91"/>
      <c r="M63" s="131"/>
      <c r="N63" s="133">
        <f>(N57-N62)*0.6</f>
        <v>1381.1555999999996</v>
      </c>
    </row>
    <row r="64" spans="1:16" ht="14.25" thickTop="1" thickBot="1">
      <c r="I64" s="91"/>
      <c r="J64" s="91" t="s">
        <v>79</v>
      </c>
      <c r="K64" s="91"/>
      <c r="L64" s="91"/>
      <c r="M64" s="130"/>
      <c r="N64" s="94">
        <f>+N62+N63</f>
        <v>5961.1556</v>
      </c>
    </row>
    <row r="65" spans="3:14" ht="13.5" thickTop="1">
      <c r="C65" s="91" t="s">
        <v>82</v>
      </c>
      <c r="I65" s="91"/>
      <c r="J65" s="91"/>
      <c r="K65" s="91"/>
      <c r="L65" s="91"/>
      <c r="M65" s="131"/>
    </row>
    <row r="66" spans="3:14">
      <c r="C66" s="91" t="s">
        <v>83</v>
      </c>
      <c r="F66" s="93">
        <f>(F54-F59)*0.4</f>
        <v>598.53840000000025</v>
      </c>
      <c r="I66" s="91"/>
      <c r="J66" s="91" t="s">
        <v>80</v>
      </c>
      <c r="K66" s="91"/>
      <c r="L66" s="91"/>
      <c r="M66" s="130"/>
      <c r="N66" s="93">
        <f>M57</f>
        <v>4129.1556</v>
      </c>
    </row>
    <row r="67" spans="3:14">
      <c r="M67" s="83"/>
    </row>
    <row r="68" spans="3:14" ht="13.5" thickBot="1">
      <c r="C68" s="91" t="s">
        <v>84</v>
      </c>
      <c r="F68" s="95">
        <f>+F56+F59+F60+F63+F66</f>
        <v>30381.73</v>
      </c>
      <c r="G68" s="128">
        <f>+F68-C54</f>
        <v>0</v>
      </c>
      <c r="J68" s="91" t="s">
        <v>82</v>
      </c>
      <c r="M68" s="83"/>
    </row>
    <row r="69" spans="3:14" ht="13.5" thickTop="1">
      <c r="J69" s="91" t="s">
        <v>83</v>
      </c>
      <c r="M69" s="83"/>
      <c r="N69" s="93">
        <f>(N57-N62)*0.4</f>
        <v>920.77039999999988</v>
      </c>
    </row>
    <row r="71" spans="3:14" ht="13.5" thickBot="1">
      <c r="J71" s="91" t="s">
        <v>84</v>
      </c>
      <c r="N71" s="95">
        <f>+N59+N62+N63+N66+N69</f>
        <v>34409.629999999997</v>
      </c>
    </row>
    <row r="72" spans="3:14" ht="13.5" thickTop="1"/>
    <row r="74" spans="3:14">
      <c r="F74" s="75" t="s">
        <v>1</v>
      </c>
    </row>
  </sheetData>
  <mergeCells count="26">
    <mergeCell ref="A26:A27"/>
    <mergeCell ref="J5:J6"/>
    <mergeCell ref="K5:K6"/>
    <mergeCell ref="L5:M5"/>
    <mergeCell ref="A11:A12"/>
    <mergeCell ref="A14:A15"/>
    <mergeCell ref="A17:A18"/>
    <mergeCell ref="A20:A21"/>
    <mergeCell ref="A23:A24"/>
    <mergeCell ref="N5:N6"/>
    <mergeCell ref="A8:A9"/>
    <mergeCell ref="I8:I9"/>
    <mergeCell ref="A5:A6"/>
    <mergeCell ref="B5:B6"/>
    <mergeCell ref="C5:C6"/>
    <mergeCell ref="D5:E5"/>
    <mergeCell ref="F5:F6"/>
    <mergeCell ref="I5:I6"/>
    <mergeCell ref="A47:A48"/>
    <mergeCell ref="A50:A51"/>
    <mergeCell ref="A29:A30"/>
    <mergeCell ref="A32:A33"/>
    <mergeCell ref="A35:A36"/>
    <mergeCell ref="A38:A39"/>
    <mergeCell ref="A41:A42"/>
    <mergeCell ref="A44:A45"/>
  </mergeCells>
  <phoneticPr fontId="0" type="noConversion"/>
  <pageMargins left="0.75" right="0.75" top="0.5" bottom="0.17" header="0.5" footer="0.23"/>
  <pageSetup paperSize="5" scale="80" orientation="portrait" r:id="rId1"/>
  <headerFooter alignWithMargins="0"/>
  <colBreaks count="1" manualBreakCount="1">
    <brk id="7" max="72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G129"/>
  <sheetViews>
    <sheetView topLeftCell="A34" workbookViewId="0">
      <selection activeCell="N99" sqref="N99"/>
    </sheetView>
  </sheetViews>
  <sheetFormatPr defaultRowHeight="12.75"/>
  <cols>
    <col min="1" max="1" width="31.7109375" style="73" bestFit="1" customWidth="1"/>
    <col min="2" max="2" width="9.140625" style="73"/>
    <col min="3" max="4" width="0" style="73" hidden="1" customWidth="1"/>
    <col min="5" max="5" width="9.140625" style="73"/>
    <col min="6" max="7" width="12.85546875" style="73" customWidth="1"/>
    <col min="8" max="16384" width="9.140625" style="73"/>
  </cols>
  <sheetData>
    <row r="1" spans="1:7">
      <c r="A1" s="96"/>
      <c r="B1" s="96"/>
      <c r="C1" s="96"/>
      <c r="D1" s="96"/>
      <c r="E1" s="96"/>
      <c r="F1" s="96"/>
      <c r="G1" s="96"/>
    </row>
    <row r="2" spans="1:7">
      <c r="A2" s="96"/>
      <c r="B2" s="96"/>
      <c r="C2" s="96"/>
      <c r="D2" s="96"/>
      <c r="E2" s="96"/>
      <c r="F2" s="96"/>
      <c r="G2" s="96"/>
    </row>
    <row r="3" spans="1:7">
      <c r="A3" s="97" t="str">
        <f>'SALES SUMMARY'!A1</f>
        <v>THE OLD SPAGHETTI HOUSE-VALERO</v>
      </c>
      <c r="B3" s="98"/>
      <c r="C3" s="98"/>
      <c r="D3" s="96"/>
      <c r="E3" s="96"/>
      <c r="F3" s="96"/>
      <c r="G3" s="96"/>
    </row>
    <row r="4" spans="1:7">
      <c r="A4" s="97" t="s">
        <v>85</v>
      </c>
      <c r="B4" s="98"/>
      <c r="C4" s="98"/>
      <c r="D4" s="96"/>
      <c r="E4" s="96"/>
      <c r="F4" s="96"/>
      <c r="G4" s="96"/>
    </row>
    <row r="5" spans="1:7">
      <c r="A5" s="99" t="str">
        <f>'SALES SUMMARY'!A4</f>
        <v>FOR THE MONTH ENDED  APRIL 2018</v>
      </c>
      <c r="B5" s="99"/>
      <c r="C5" s="99"/>
      <c r="D5" s="99"/>
      <c r="E5" s="96"/>
      <c r="F5" s="96"/>
      <c r="G5" s="96"/>
    </row>
    <row r="6" spans="1:7">
      <c r="A6" s="96"/>
      <c r="B6" s="96"/>
      <c r="C6" s="96"/>
      <c r="D6" s="96"/>
      <c r="E6" s="96"/>
      <c r="F6" s="96"/>
      <c r="G6" s="96"/>
    </row>
    <row r="7" spans="1:7">
      <c r="A7" s="96"/>
      <c r="B7" s="96"/>
      <c r="C7" s="96"/>
      <c r="D7" s="96"/>
      <c r="E7" s="96"/>
      <c r="F7" s="96"/>
      <c r="G7" s="96"/>
    </row>
    <row r="8" spans="1:7">
      <c r="A8" s="96" t="s">
        <v>86</v>
      </c>
      <c r="B8" s="96"/>
      <c r="C8" s="96"/>
      <c r="D8" s="96"/>
      <c r="E8" s="96"/>
      <c r="F8" s="96"/>
      <c r="G8" s="100">
        <f>+'SALES SUMMARY'!C105</f>
        <v>861361.09</v>
      </c>
    </row>
    <row r="9" spans="1:7">
      <c r="A9" s="96"/>
      <c r="B9" s="96"/>
      <c r="C9" s="96"/>
      <c r="D9" s="96"/>
      <c r="E9" s="96"/>
      <c r="F9" s="96"/>
      <c r="G9" s="100"/>
    </row>
    <row r="10" spans="1:7">
      <c r="A10" s="96" t="s">
        <v>87</v>
      </c>
      <c r="B10" s="96"/>
      <c r="C10" s="96"/>
      <c r="D10" s="96"/>
      <c r="E10" s="96"/>
      <c r="F10" s="96"/>
      <c r="G10" s="100">
        <f>+'SALES SUMMARY'!AF105</f>
        <v>64791.360000000022</v>
      </c>
    </row>
    <row r="11" spans="1:7">
      <c r="A11" s="96"/>
      <c r="B11" s="96"/>
      <c r="C11" s="96"/>
      <c r="D11" s="96"/>
      <c r="E11" s="96"/>
      <c r="F11" s="96"/>
      <c r="G11" s="96"/>
    </row>
    <row r="12" spans="1:7">
      <c r="A12" s="96" t="s">
        <v>33</v>
      </c>
      <c r="B12" s="96"/>
      <c r="C12" s="96"/>
      <c r="D12" s="96"/>
      <c r="E12" s="96"/>
      <c r="F12" s="96"/>
      <c r="G12" s="101">
        <f>+'SALES SUMMARY'!AM105</f>
        <v>80833.274185714283</v>
      </c>
    </row>
    <row r="13" spans="1:7">
      <c r="A13" s="96"/>
      <c r="B13" s="96"/>
      <c r="C13" s="96"/>
      <c r="D13" s="96"/>
      <c r="E13" s="96"/>
      <c r="F13" s="96"/>
      <c r="G13" s="102"/>
    </row>
    <row r="14" spans="1:7">
      <c r="A14" s="96" t="s">
        <v>31</v>
      </c>
      <c r="B14" s="96"/>
      <c r="C14" s="96"/>
      <c r="D14" s="96"/>
      <c r="E14" s="96"/>
      <c r="F14" s="96"/>
      <c r="G14" s="100">
        <f>G8-G10-G12</f>
        <v>715736.45581428567</v>
      </c>
    </row>
    <row r="15" spans="1:7">
      <c r="A15" s="96"/>
      <c r="B15" s="96"/>
      <c r="C15" s="96"/>
      <c r="D15" s="96"/>
      <c r="E15" s="96"/>
      <c r="F15" s="96"/>
      <c r="G15" s="96"/>
    </row>
    <row r="16" spans="1:7">
      <c r="A16" s="96"/>
      <c r="B16" s="96"/>
      <c r="C16" s="96"/>
      <c r="D16" s="96"/>
      <c r="E16" s="96"/>
      <c r="F16" s="96"/>
      <c r="G16" s="103"/>
    </row>
    <row r="17" spans="1:7" ht="13.5" thickBot="1">
      <c r="A17" s="104" t="s">
        <v>85</v>
      </c>
      <c r="B17" s="104"/>
      <c r="C17" s="104"/>
      <c r="D17" s="104"/>
      <c r="E17" s="104"/>
      <c r="F17" s="105">
        <v>0.02</v>
      </c>
      <c r="G17" s="106">
        <f>G14*F17</f>
        <v>14314.729116285715</v>
      </c>
    </row>
    <row r="18" spans="1:7" ht="13.5" thickTop="1">
      <c r="A18" s="104"/>
      <c r="B18" s="104"/>
      <c r="C18" s="104"/>
      <c r="D18" s="104"/>
      <c r="E18" s="104"/>
      <c r="F18" s="105"/>
      <c r="G18" s="122"/>
    </row>
    <row r="19" spans="1:7">
      <c r="A19" s="104" t="s">
        <v>105</v>
      </c>
      <c r="B19" s="104"/>
      <c r="C19" s="104"/>
      <c r="D19" s="104"/>
      <c r="E19" s="104"/>
      <c r="F19" s="105"/>
      <c r="G19" s="122">
        <f>+G17*0.12</f>
        <v>1717.7674939542858</v>
      </c>
    </row>
    <row r="20" spans="1:7">
      <c r="A20" s="104"/>
      <c r="B20" s="104"/>
      <c r="C20" s="104"/>
      <c r="D20" s="104"/>
      <c r="E20" s="104"/>
      <c r="F20" s="105"/>
      <c r="G20" s="122"/>
    </row>
    <row r="21" spans="1:7">
      <c r="A21" s="104" t="s">
        <v>106</v>
      </c>
      <c r="B21" s="104"/>
      <c r="C21" s="104"/>
      <c r="D21" s="104"/>
      <c r="E21" s="104"/>
      <c r="F21" s="105"/>
      <c r="G21" s="122">
        <f>+G17*0.1</f>
        <v>1431.4729116285716</v>
      </c>
    </row>
    <row r="22" spans="1:7">
      <c r="A22" s="96"/>
      <c r="B22" s="96"/>
      <c r="C22" s="96"/>
      <c r="D22" s="96"/>
      <c r="E22" s="96"/>
      <c r="F22" s="96"/>
      <c r="G22" s="100"/>
    </row>
    <row r="23" spans="1:7" ht="13.5" thickBot="1">
      <c r="A23" s="104" t="s">
        <v>142</v>
      </c>
      <c r="B23" s="104"/>
      <c r="C23" s="104"/>
      <c r="D23" s="104"/>
      <c r="E23" s="104"/>
      <c r="F23" s="104"/>
      <c r="G23" s="112">
        <f>G17+G19-G21</f>
        <v>14601.023698611429</v>
      </c>
    </row>
    <row r="24" spans="1:7" ht="13.5" thickTop="1">
      <c r="A24" s="96"/>
      <c r="B24" s="96"/>
      <c r="C24" s="96"/>
      <c r="D24" s="96"/>
      <c r="E24" s="96"/>
      <c r="F24" s="96"/>
      <c r="G24" s="96"/>
    </row>
    <row r="25" spans="1:7">
      <c r="A25" s="96"/>
      <c r="B25" s="96"/>
      <c r="C25" s="96"/>
      <c r="D25" s="96"/>
      <c r="E25" s="96"/>
      <c r="F25" s="96"/>
      <c r="G25" s="96"/>
    </row>
    <row r="26" spans="1:7">
      <c r="A26" s="96"/>
      <c r="B26" s="96"/>
      <c r="C26" s="96"/>
      <c r="D26" s="96"/>
      <c r="E26" s="96"/>
      <c r="F26" s="96"/>
      <c r="G26" s="96"/>
    </row>
    <row r="27" spans="1:7">
      <c r="A27" s="96"/>
      <c r="B27" s="96"/>
      <c r="C27" s="96"/>
      <c r="D27" s="96"/>
      <c r="E27" s="96"/>
      <c r="F27" s="96"/>
      <c r="G27" s="96"/>
    </row>
    <row r="28" spans="1:7">
      <c r="A28" s="96" t="s">
        <v>88</v>
      </c>
      <c r="B28" s="96"/>
      <c r="C28" s="96"/>
      <c r="D28" s="96"/>
      <c r="E28" s="96"/>
      <c r="F28" s="96" t="s">
        <v>89</v>
      </c>
      <c r="G28" s="96"/>
    </row>
    <row r="29" spans="1:7" ht="13.5" thickBot="1">
      <c r="A29" s="107"/>
      <c r="B29" s="107"/>
      <c r="C29" s="107"/>
      <c r="D29" s="107"/>
      <c r="E29" s="107"/>
      <c r="F29" s="107"/>
      <c r="G29" s="107"/>
    </row>
    <row r="30" spans="1:7">
      <c r="A30" s="108"/>
      <c r="B30" s="108"/>
      <c r="C30" s="108"/>
      <c r="D30" s="108"/>
      <c r="E30" s="108"/>
      <c r="F30" s="108"/>
      <c r="G30" s="108"/>
    </row>
    <row r="31" spans="1:7">
      <c r="A31" s="109"/>
      <c r="B31" s="109"/>
      <c r="C31" s="109"/>
      <c r="D31" s="109"/>
      <c r="E31" s="109"/>
      <c r="F31" s="109"/>
      <c r="G31" s="109"/>
    </row>
    <row r="32" spans="1:7">
      <c r="A32" s="109"/>
      <c r="B32" s="109"/>
      <c r="C32" s="109"/>
      <c r="D32" s="109"/>
      <c r="E32" s="109"/>
      <c r="F32" s="109"/>
      <c r="G32" s="109"/>
    </row>
    <row r="33" spans="1:7">
      <c r="A33" s="109"/>
      <c r="B33" s="109"/>
      <c r="C33" s="109"/>
      <c r="D33" s="109"/>
      <c r="E33" s="109"/>
      <c r="F33" s="109"/>
      <c r="G33" s="109"/>
    </row>
    <row r="34" spans="1:7">
      <c r="A34" s="109"/>
      <c r="B34" s="109"/>
      <c r="C34" s="109"/>
      <c r="D34" s="109"/>
      <c r="E34" s="109"/>
      <c r="F34" s="109"/>
      <c r="G34" s="109"/>
    </row>
    <row r="35" spans="1:7">
      <c r="A35" s="109"/>
      <c r="B35" s="109"/>
      <c r="C35" s="109"/>
      <c r="D35" s="109"/>
      <c r="E35" s="109"/>
      <c r="F35" s="109"/>
      <c r="G35" s="109"/>
    </row>
    <row r="36" spans="1:7">
      <c r="A36" s="109"/>
      <c r="B36" s="109"/>
      <c r="C36" s="109"/>
      <c r="D36" s="109"/>
      <c r="E36" s="109"/>
      <c r="F36" s="109"/>
      <c r="G36" s="109"/>
    </row>
    <row r="37" spans="1:7">
      <c r="A37" s="97" t="str">
        <f>+A3</f>
        <v>THE OLD SPAGHETTI HOUSE-VALERO</v>
      </c>
      <c r="B37" s="98"/>
      <c r="C37" s="98"/>
      <c r="D37" s="96"/>
      <c r="E37" s="96"/>
      <c r="F37" s="96"/>
      <c r="G37" s="96"/>
    </row>
    <row r="38" spans="1:7">
      <c r="A38" s="97" t="s">
        <v>85</v>
      </c>
      <c r="B38" s="98"/>
      <c r="C38" s="98"/>
      <c r="D38" s="96"/>
      <c r="E38" s="96"/>
      <c r="F38" s="96"/>
      <c r="G38" s="96"/>
    </row>
    <row r="39" spans="1:7">
      <c r="A39" s="99" t="str">
        <f>+A5</f>
        <v>FOR THE MONTH ENDED  APRIL 2018</v>
      </c>
      <c r="B39" s="99"/>
      <c r="C39" s="99"/>
      <c r="D39" s="99"/>
      <c r="E39" s="96"/>
      <c r="F39" s="96"/>
      <c r="G39" s="96"/>
    </row>
    <row r="40" spans="1:7">
      <c r="A40" s="96"/>
      <c r="B40" s="96"/>
      <c r="C40" s="96"/>
      <c r="D40" s="96"/>
      <c r="E40" s="96"/>
      <c r="F40" s="96"/>
      <c r="G40" s="96"/>
    </row>
    <row r="41" spans="1:7">
      <c r="A41" s="96"/>
      <c r="B41" s="96"/>
      <c r="C41" s="96"/>
      <c r="D41" s="96"/>
      <c r="E41" s="96"/>
      <c r="F41" s="96"/>
      <c r="G41" s="96"/>
    </row>
    <row r="42" spans="1:7">
      <c r="A42" s="96" t="s">
        <v>86</v>
      </c>
      <c r="B42" s="96"/>
      <c r="C42" s="96"/>
      <c r="D42" s="96"/>
      <c r="E42" s="96"/>
      <c r="F42" s="96"/>
      <c r="G42" s="100">
        <f>G8</f>
        <v>861361.09</v>
      </c>
    </row>
    <row r="43" spans="1:7">
      <c r="A43" s="96"/>
      <c r="B43" s="96"/>
      <c r="C43" s="96"/>
      <c r="D43" s="96"/>
      <c r="E43" s="96"/>
      <c r="F43" s="96"/>
      <c r="G43" s="96"/>
    </row>
    <row r="44" spans="1:7">
      <c r="A44" s="96" t="s">
        <v>87</v>
      </c>
      <c r="B44" s="96"/>
      <c r="C44" s="96"/>
      <c r="D44" s="96"/>
      <c r="E44" s="96"/>
      <c r="F44" s="96"/>
      <c r="G44" s="100">
        <f>+G10</f>
        <v>64791.360000000022</v>
      </c>
    </row>
    <row r="45" spans="1:7">
      <c r="A45" s="96"/>
      <c r="B45" s="96"/>
      <c r="C45" s="96"/>
      <c r="D45" s="96"/>
      <c r="E45" s="96"/>
      <c r="F45" s="96"/>
      <c r="G45" s="96"/>
    </row>
    <row r="46" spans="1:7">
      <c r="A46" s="96" t="s">
        <v>33</v>
      </c>
      <c r="B46" s="96"/>
      <c r="C46" s="96"/>
      <c r="D46" s="96"/>
      <c r="E46" s="96"/>
      <c r="F46" s="96"/>
      <c r="G46" s="101">
        <f>G12</f>
        <v>80833.274185714283</v>
      </c>
    </row>
    <row r="47" spans="1:7">
      <c r="A47" s="96"/>
      <c r="B47" s="96"/>
      <c r="C47" s="96"/>
      <c r="D47" s="96"/>
      <c r="E47" s="96"/>
      <c r="F47" s="96"/>
      <c r="G47" s="102"/>
    </row>
    <row r="48" spans="1:7">
      <c r="A48" s="96" t="s">
        <v>31</v>
      </c>
      <c r="B48" s="96"/>
      <c r="C48" s="96"/>
      <c r="D48" s="96"/>
      <c r="E48" s="96"/>
      <c r="F48" s="96"/>
      <c r="G48" s="100">
        <f>G42-G44-G46</f>
        <v>715736.45581428567</v>
      </c>
    </row>
    <row r="49" spans="1:7">
      <c r="A49" s="96"/>
      <c r="B49" s="96"/>
      <c r="C49" s="96"/>
      <c r="D49" s="96"/>
      <c r="E49" s="96"/>
      <c r="F49" s="96"/>
      <c r="G49" s="96"/>
    </row>
    <row r="50" spans="1:7">
      <c r="A50" s="96"/>
      <c r="B50" s="96"/>
      <c r="C50" s="96"/>
      <c r="D50" s="96"/>
      <c r="E50" s="96"/>
      <c r="F50" s="96"/>
      <c r="G50" s="103"/>
    </row>
    <row r="51" spans="1:7" ht="13.5" thickBot="1">
      <c r="A51" s="104" t="s">
        <v>85</v>
      </c>
      <c r="B51" s="104"/>
      <c r="C51" s="104"/>
      <c r="D51" s="104"/>
      <c r="E51" s="104"/>
      <c r="F51" s="105">
        <v>0.02</v>
      </c>
      <c r="G51" s="106">
        <f>G48*F51</f>
        <v>14314.729116285715</v>
      </c>
    </row>
    <row r="52" spans="1:7" ht="13.5" thickTop="1">
      <c r="A52" s="104"/>
      <c r="B52" s="104"/>
      <c r="C52" s="104"/>
      <c r="D52" s="104"/>
      <c r="E52" s="104"/>
      <c r="F52" s="105"/>
      <c r="G52" s="122"/>
    </row>
    <row r="53" spans="1:7">
      <c r="A53" s="104" t="s">
        <v>105</v>
      </c>
      <c r="B53" s="104"/>
      <c r="C53" s="104"/>
      <c r="D53" s="104"/>
      <c r="E53" s="104"/>
      <c r="F53" s="105"/>
      <c r="G53" s="122">
        <f>+G51*0.12</f>
        <v>1717.7674939542858</v>
      </c>
    </row>
    <row r="54" spans="1:7">
      <c r="A54" s="104"/>
      <c r="B54" s="104"/>
      <c r="C54" s="104"/>
      <c r="D54" s="104"/>
      <c r="E54" s="104"/>
      <c r="F54" s="105"/>
      <c r="G54" s="122"/>
    </row>
    <row r="55" spans="1:7">
      <c r="A55" s="104" t="s">
        <v>106</v>
      </c>
      <c r="B55" s="104"/>
      <c r="C55" s="104"/>
      <c r="D55" s="104"/>
      <c r="E55" s="104"/>
      <c r="F55" s="105"/>
      <c r="G55" s="122">
        <f>+G51*0.1</f>
        <v>1431.4729116285716</v>
      </c>
    </row>
    <row r="56" spans="1:7">
      <c r="A56" s="96"/>
      <c r="B56" s="96"/>
      <c r="C56" s="96"/>
      <c r="D56" s="96"/>
      <c r="E56" s="96"/>
      <c r="F56" s="96"/>
      <c r="G56" s="100"/>
    </row>
    <row r="57" spans="1:7" ht="13.5" thickBot="1">
      <c r="A57" s="104" t="s">
        <v>142</v>
      </c>
      <c r="B57" s="104"/>
      <c r="C57" s="104"/>
      <c r="D57" s="104"/>
      <c r="E57" s="104"/>
      <c r="F57" s="104"/>
      <c r="G57" s="112">
        <f>G51+G53-G55</f>
        <v>14601.023698611429</v>
      </c>
    </row>
    <row r="58" spans="1:7" ht="13.5" thickTop="1">
      <c r="A58" s="96"/>
      <c r="B58" s="96"/>
      <c r="C58" s="96"/>
      <c r="D58" s="96"/>
      <c r="E58" s="96"/>
      <c r="F58" s="96"/>
      <c r="G58" s="96"/>
    </row>
    <row r="59" spans="1:7">
      <c r="A59" s="96" t="s">
        <v>90</v>
      </c>
      <c r="B59" s="96"/>
      <c r="C59" s="96"/>
      <c r="D59" s="96"/>
      <c r="E59" s="96"/>
      <c r="F59" s="96"/>
      <c r="G59" s="96"/>
    </row>
    <row r="60" spans="1:7">
      <c r="A60" s="96"/>
      <c r="B60" s="96"/>
      <c r="C60" s="96"/>
      <c r="D60" s="96"/>
      <c r="E60" s="96"/>
      <c r="F60" s="96"/>
      <c r="G60" s="96"/>
    </row>
    <row r="61" spans="1:7">
      <c r="A61" s="96"/>
      <c r="B61" s="96"/>
      <c r="C61" s="96"/>
      <c r="D61" s="96"/>
      <c r="E61" s="96"/>
      <c r="F61" s="96"/>
      <c r="G61" s="96"/>
    </row>
    <row r="62" spans="1:7">
      <c r="A62" s="96" t="s">
        <v>88</v>
      </c>
      <c r="B62" s="96"/>
      <c r="C62" s="96"/>
      <c r="D62" s="96"/>
      <c r="E62" s="96"/>
      <c r="F62" s="96" t="s">
        <v>89</v>
      </c>
      <c r="G62" s="96"/>
    </row>
    <row r="63" spans="1:7">
      <c r="A63" s="96"/>
      <c r="B63" s="96"/>
      <c r="C63" s="96"/>
      <c r="D63" s="96"/>
      <c r="E63" s="96"/>
      <c r="F63" s="96"/>
      <c r="G63" s="96"/>
    </row>
    <row r="64" spans="1:7">
      <c r="A64" s="96"/>
      <c r="B64" s="96"/>
      <c r="C64" s="96"/>
      <c r="D64" s="96"/>
      <c r="E64" s="96"/>
      <c r="F64" s="96"/>
      <c r="G64" s="96"/>
    </row>
    <row r="67" spans="1:7">
      <c r="A67" s="96"/>
      <c r="B67" s="96"/>
      <c r="C67" s="96"/>
      <c r="D67" s="96"/>
      <c r="E67" s="96"/>
      <c r="F67" s="96"/>
      <c r="G67" s="96"/>
    </row>
    <row r="68" spans="1:7">
      <c r="A68" s="96"/>
      <c r="B68" s="96"/>
      <c r="C68" s="96"/>
      <c r="D68" s="96"/>
      <c r="E68" s="96"/>
      <c r="F68" s="96"/>
      <c r="G68" s="96"/>
    </row>
    <row r="69" spans="1:7">
      <c r="A69" s="97" t="str">
        <f>A37</f>
        <v>THE OLD SPAGHETTI HOUSE-VALERO</v>
      </c>
      <c r="B69" s="98"/>
      <c r="C69" s="98"/>
      <c r="D69" s="96"/>
      <c r="E69" s="96"/>
      <c r="F69" s="96"/>
      <c r="G69" s="96"/>
    </row>
    <row r="70" spans="1:7">
      <c r="A70" s="97" t="s">
        <v>91</v>
      </c>
      <c r="B70" s="98"/>
      <c r="C70" s="98"/>
      <c r="D70" s="96"/>
      <c r="E70" s="96"/>
      <c r="F70" s="96"/>
      <c r="G70" s="96"/>
    </row>
    <row r="71" spans="1:7">
      <c r="A71" s="99" t="str">
        <f>A5</f>
        <v>FOR THE MONTH ENDED  APRIL 2018</v>
      </c>
      <c r="B71" s="99"/>
      <c r="C71" s="99"/>
      <c r="D71" s="99"/>
      <c r="E71" s="96"/>
      <c r="F71" s="96"/>
      <c r="G71" s="96"/>
    </row>
    <row r="72" spans="1:7">
      <c r="A72" s="96"/>
      <c r="B72" s="96"/>
      <c r="C72" s="96"/>
      <c r="D72" s="96"/>
      <c r="E72" s="96"/>
      <c r="F72" s="96"/>
      <c r="G72" s="96"/>
    </row>
    <row r="73" spans="1:7">
      <c r="A73" s="96"/>
      <c r="B73" s="96"/>
      <c r="C73" s="96"/>
      <c r="D73" s="96"/>
      <c r="E73" s="96"/>
      <c r="F73" s="96"/>
      <c r="G73" s="96"/>
    </row>
    <row r="74" spans="1:7">
      <c r="A74" s="96" t="s">
        <v>86</v>
      </c>
      <c r="B74" s="96"/>
      <c r="C74" s="96"/>
      <c r="D74" s="96"/>
      <c r="E74" s="96"/>
      <c r="F74" s="96"/>
      <c r="G74" s="100">
        <f>G8</f>
        <v>861361.09</v>
      </c>
    </row>
    <row r="75" spans="1:7">
      <c r="A75" s="96"/>
      <c r="B75" s="96"/>
      <c r="C75" s="96"/>
      <c r="D75" s="96"/>
      <c r="E75" s="96"/>
      <c r="F75" s="96"/>
      <c r="G75" s="96"/>
    </row>
    <row r="76" spans="1:7">
      <c r="A76" s="96" t="s">
        <v>87</v>
      </c>
      <c r="B76" s="96"/>
      <c r="C76" s="96"/>
      <c r="D76" s="96"/>
      <c r="E76" s="96"/>
      <c r="F76" s="96"/>
      <c r="G76" s="100">
        <f>G10</f>
        <v>64791.360000000022</v>
      </c>
    </row>
    <row r="77" spans="1:7">
      <c r="A77" s="96"/>
      <c r="B77" s="96"/>
      <c r="C77" s="96"/>
      <c r="D77" s="96"/>
      <c r="E77" s="96"/>
      <c r="F77" s="96"/>
      <c r="G77" s="96"/>
    </row>
    <row r="78" spans="1:7">
      <c r="A78" s="96" t="s">
        <v>33</v>
      </c>
      <c r="B78" s="96"/>
      <c r="C78" s="96"/>
      <c r="D78" s="96"/>
      <c r="E78" s="96"/>
      <c r="F78" s="96"/>
      <c r="G78" s="101">
        <f>G12</f>
        <v>80833.274185714283</v>
      </c>
    </row>
    <row r="79" spans="1:7">
      <c r="A79" s="96"/>
      <c r="B79" s="96"/>
      <c r="C79" s="96"/>
      <c r="D79" s="96"/>
      <c r="E79" s="96"/>
      <c r="F79" s="96"/>
      <c r="G79" s="110"/>
    </row>
    <row r="80" spans="1:7">
      <c r="A80" s="96" t="s">
        <v>31</v>
      </c>
      <c r="B80" s="96"/>
      <c r="C80" s="96"/>
      <c r="D80" s="96"/>
      <c r="E80" s="96"/>
      <c r="F80" s="96"/>
      <c r="G80" s="100">
        <f>G74-G76-G78</f>
        <v>715736.45581428567</v>
      </c>
    </row>
    <row r="81" spans="1:7">
      <c r="A81" s="96"/>
      <c r="B81" s="96"/>
      <c r="C81" s="96"/>
      <c r="D81" s="96"/>
      <c r="E81" s="96"/>
      <c r="F81" s="96"/>
      <c r="G81" s="96"/>
    </row>
    <row r="82" spans="1:7">
      <c r="A82" s="96"/>
      <c r="B82" s="96"/>
      <c r="C82" s="96"/>
      <c r="D82" s="96"/>
      <c r="E82" s="96"/>
      <c r="F82" s="96"/>
      <c r="G82" s="103"/>
    </row>
    <row r="83" spans="1:7">
      <c r="A83" s="104" t="s">
        <v>91</v>
      </c>
      <c r="B83" s="104"/>
      <c r="C83" s="104"/>
      <c r="D83" s="104"/>
      <c r="E83" s="104"/>
      <c r="F83" s="105">
        <v>0.05</v>
      </c>
      <c r="G83" s="111">
        <f>G80*F83</f>
        <v>35786.822790714286</v>
      </c>
    </row>
    <row r="84" spans="1:7">
      <c r="A84" s="104"/>
      <c r="B84" s="104"/>
      <c r="C84" s="104"/>
      <c r="D84" s="104"/>
      <c r="E84" s="104"/>
      <c r="F84" s="105"/>
      <c r="G84" s="122"/>
    </row>
    <row r="85" spans="1:7">
      <c r="A85" s="104" t="s">
        <v>105</v>
      </c>
      <c r="B85" s="104"/>
      <c r="C85" s="104"/>
      <c r="D85" s="104"/>
      <c r="E85" s="104"/>
      <c r="F85" s="105"/>
      <c r="G85" s="122">
        <f>+G83*0.12</f>
        <v>4294.418734885714</v>
      </c>
    </row>
    <row r="86" spans="1:7">
      <c r="A86" s="104"/>
      <c r="B86" s="104"/>
      <c r="C86" s="104"/>
      <c r="D86" s="104"/>
      <c r="E86" s="104"/>
      <c r="F86" s="105"/>
      <c r="G86" s="122"/>
    </row>
    <row r="87" spans="1:7">
      <c r="A87" s="104" t="s">
        <v>107</v>
      </c>
      <c r="B87" s="104"/>
      <c r="C87" s="104"/>
      <c r="D87" s="104"/>
      <c r="E87" s="104"/>
      <c r="F87" s="105"/>
      <c r="G87" s="122">
        <f>+G83*0.1</f>
        <v>3578.6822790714286</v>
      </c>
    </row>
    <row r="88" spans="1:7">
      <c r="A88" s="96"/>
      <c r="B88" s="96"/>
      <c r="C88" s="96"/>
      <c r="D88" s="96"/>
      <c r="E88" s="96"/>
      <c r="F88" s="96"/>
      <c r="G88" s="100"/>
    </row>
    <row r="89" spans="1:7" ht="13.5" thickBot="1">
      <c r="A89" s="104" t="s">
        <v>142</v>
      </c>
      <c r="B89" s="104"/>
      <c r="C89" s="104"/>
      <c r="D89" s="104"/>
      <c r="E89" s="104"/>
      <c r="F89" s="104"/>
      <c r="G89" s="112">
        <f>+G83+G85-G87</f>
        <v>36502.559246528574</v>
      </c>
    </row>
    <row r="90" spans="1:7" ht="13.5" thickTop="1">
      <c r="A90" s="104"/>
      <c r="B90" s="104"/>
      <c r="C90" s="104"/>
      <c r="D90" s="104"/>
      <c r="E90" s="104"/>
      <c r="F90" s="104"/>
      <c r="G90" s="113"/>
    </row>
    <row r="91" spans="1:7">
      <c r="A91" s="104"/>
      <c r="B91" s="104"/>
      <c r="C91" s="104"/>
      <c r="D91" s="104"/>
      <c r="E91" s="104"/>
      <c r="F91" s="104"/>
      <c r="G91" s="113"/>
    </row>
    <row r="92" spans="1:7">
      <c r="A92" s="96"/>
      <c r="B92" s="96"/>
      <c r="C92" s="96"/>
      <c r="D92" s="96"/>
      <c r="E92" s="96"/>
      <c r="F92" s="96"/>
      <c r="G92" s="96"/>
    </row>
    <row r="93" spans="1:7">
      <c r="A93" s="96"/>
      <c r="B93" s="96"/>
      <c r="C93" s="96"/>
      <c r="D93" s="96"/>
      <c r="E93" s="96"/>
      <c r="F93" s="96"/>
      <c r="G93" s="96"/>
    </row>
    <row r="94" spans="1:7">
      <c r="A94" s="96"/>
      <c r="B94" s="96"/>
      <c r="C94" s="96"/>
      <c r="D94" s="96"/>
      <c r="E94" s="96"/>
      <c r="F94" s="96"/>
      <c r="G94" s="96"/>
    </row>
    <row r="95" spans="1:7">
      <c r="A95" s="96"/>
      <c r="B95" s="96"/>
      <c r="C95" s="96"/>
      <c r="D95" s="96"/>
      <c r="E95" s="96"/>
      <c r="F95" s="96"/>
      <c r="G95" s="96"/>
    </row>
    <row r="96" spans="1:7">
      <c r="A96" s="96" t="s">
        <v>88</v>
      </c>
      <c r="B96" s="96"/>
      <c r="C96" s="96"/>
      <c r="D96" s="96"/>
      <c r="E96" s="96"/>
      <c r="F96" s="96" t="s">
        <v>89</v>
      </c>
      <c r="G96" s="96"/>
    </row>
    <row r="97" spans="1:7" ht="13.5" thickBot="1">
      <c r="A97" s="107"/>
      <c r="B97" s="107"/>
      <c r="C97" s="107"/>
      <c r="D97" s="107"/>
      <c r="E97" s="107"/>
      <c r="F97" s="107"/>
      <c r="G97" s="107"/>
    </row>
    <row r="98" spans="1:7">
      <c r="A98" s="108"/>
      <c r="B98" s="108"/>
      <c r="C98" s="108"/>
      <c r="D98" s="108"/>
      <c r="E98" s="108"/>
      <c r="F98" s="108"/>
      <c r="G98" s="108"/>
    </row>
    <row r="99" spans="1:7">
      <c r="A99" s="109"/>
      <c r="B99" s="109"/>
      <c r="C99" s="109"/>
      <c r="D99" s="109"/>
      <c r="E99" s="109"/>
      <c r="F99" s="109"/>
      <c r="G99" s="109"/>
    </row>
    <row r="100" spans="1:7">
      <c r="A100" s="109"/>
      <c r="B100" s="109"/>
      <c r="C100" s="109"/>
      <c r="D100" s="109"/>
      <c r="E100" s="109"/>
      <c r="F100" s="109"/>
      <c r="G100" s="109"/>
    </row>
    <row r="101" spans="1:7">
      <c r="A101" s="97" t="str">
        <f>+A69</f>
        <v>THE OLD SPAGHETTI HOUSE-VALERO</v>
      </c>
      <c r="B101" s="98"/>
      <c r="C101" s="98"/>
      <c r="D101" s="96"/>
      <c r="E101" s="96"/>
      <c r="F101" s="96"/>
      <c r="G101" s="96"/>
    </row>
    <row r="102" spans="1:7">
      <c r="A102" s="97" t="s">
        <v>91</v>
      </c>
      <c r="B102" s="98"/>
      <c r="C102" s="98"/>
      <c r="D102" s="96"/>
      <c r="E102" s="96"/>
      <c r="F102" s="96"/>
      <c r="G102" s="96"/>
    </row>
    <row r="103" spans="1:7">
      <c r="A103" s="99" t="str">
        <f>A5</f>
        <v>FOR THE MONTH ENDED  APRIL 2018</v>
      </c>
      <c r="B103" s="99"/>
      <c r="C103" s="99"/>
      <c r="D103" s="99"/>
      <c r="E103" s="96"/>
      <c r="F103" s="96"/>
      <c r="G103" s="96"/>
    </row>
    <row r="104" spans="1:7">
      <c r="A104" s="96"/>
      <c r="B104" s="96"/>
      <c r="C104" s="96"/>
      <c r="D104" s="96"/>
      <c r="E104" s="96"/>
      <c r="F104" s="96"/>
      <c r="G104" s="96"/>
    </row>
    <row r="105" spans="1:7">
      <c r="A105" s="96"/>
      <c r="B105" s="96"/>
      <c r="C105" s="96"/>
      <c r="D105" s="96"/>
      <c r="E105" s="96"/>
      <c r="F105" s="96"/>
      <c r="G105" s="96"/>
    </row>
    <row r="106" spans="1:7">
      <c r="A106" s="96" t="s">
        <v>86</v>
      </c>
      <c r="B106" s="96"/>
      <c r="C106" s="96"/>
      <c r="D106" s="96"/>
      <c r="E106" s="96"/>
      <c r="F106" s="96"/>
      <c r="G106" s="100">
        <f>G8</f>
        <v>861361.09</v>
      </c>
    </row>
    <row r="107" spans="1:7">
      <c r="A107" s="96"/>
      <c r="B107" s="96"/>
      <c r="C107" s="96"/>
      <c r="D107" s="96"/>
      <c r="E107" s="96"/>
      <c r="F107" s="96"/>
      <c r="G107" s="96"/>
    </row>
    <row r="108" spans="1:7">
      <c r="A108" s="96" t="s">
        <v>87</v>
      </c>
      <c r="B108" s="96"/>
      <c r="C108" s="96"/>
      <c r="D108" s="96"/>
      <c r="E108" s="96"/>
      <c r="F108" s="96"/>
      <c r="G108" s="100">
        <f>G10</f>
        <v>64791.360000000022</v>
      </c>
    </row>
    <row r="109" spans="1:7">
      <c r="A109" s="96"/>
      <c r="B109" s="96"/>
      <c r="C109" s="96"/>
      <c r="D109" s="96"/>
      <c r="E109" s="96"/>
      <c r="F109" s="96"/>
      <c r="G109" s="96"/>
    </row>
    <row r="110" spans="1:7">
      <c r="A110" s="96" t="s">
        <v>33</v>
      </c>
      <c r="B110" s="96"/>
      <c r="C110" s="96"/>
      <c r="D110" s="96"/>
      <c r="E110" s="96"/>
      <c r="F110" s="96"/>
      <c r="G110" s="101">
        <f>G12</f>
        <v>80833.274185714283</v>
      </c>
    </row>
    <row r="111" spans="1:7">
      <c r="A111" s="96"/>
      <c r="B111" s="96"/>
      <c r="C111" s="96"/>
      <c r="D111" s="96"/>
      <c r="E111" s="96"/>
      <c r="F111" s="96"/>
      <c r="G111" s="102"/>
    </row>
    <row r="112" spans="1:7">
      <c r="A112" s="96" t="s">
        <v>31</v>
      </c>
      <c r="B112" s="96"/>
      <c r="C112" s="96"/>
      <c r="D112" s="96"/>
      <c r="E112" s="96"/>
      <c r="F112" s="96"/>
      <c r="G112" s="100">
        <f>G80</f>
        <v>715736.45581428567</v>
      </c>
    </row>
    <row r="113" spans="1:7">
      <c r="A113" s="96"/>
      <c r="B113" s="96"/>
      <c r="C113" s="96"/>
      <c r="D113" s="96"/>
      <c r="E113" s="96"/>
      <c r="F113" s="96"/>
      <c r="G113" s="96"/>
    </row>
    <row r="114" spans="1:7">
      <c r="A114" s="96"/>
      <c r="B114" s="96"/>
      <c r="C114" s="96"/>
      <c r="D114" s="96"/>
      <c r="E114" s="96"/>
      <c r="F114" s="96"/>
      <c r="G114" s="103"/>
    </row>
    <row r="115" spans="1:7">
      <c r="A115" s="104" t="s">
        <v>92</v>
      </c>
      <c r="B115" s="104"/>
      <c r="C115" s="104"/>
      <c r="D115" s="104"/>
      <c r="E115" s="104"/>
      <c r="F115" s="105">
        <f>F83</f>
        <v>0.05</v>
      </c>
      <c r="G115" s="111">
        <f>G112*F115</f>
        <v>35786.822790714286</v>
      </c>
    </row>
    <row r="116" spans="1:7">
      <c r="A116" s="104"/>
      <c r="B116" s="104"/>
      <c r="C116" s="104"/>
      <c r="D116" s="104"/>
      <c r="E116" s="104"/>
      <c r="F116" s="105"/>
      <c r="G116" s="122"/>
    </row>
    <row r="117" spans="1:7">
      <c r="A117" s="104" t="s">
        <v>105</v>
      </c>
      <c r="B117" s="104"/>
      <c r="C117" s="104"/>
      <c r="D117" s="104"/>
      <c r="E117" s="104"/>
      <c r="F117" s="105"/>
      <c r="G117" s="122">
        <f>+G115*0.12</f>
        <v>4294.418734885714</v>
      </c>
    </row>
    <row r="118" spans="1:7">
      <c r="A118" s="104"/>
      <c r="B118" s="104"/>
      <c r="C118" s="104"/>
      <c r="D118" s="104"/>
      <c r="E118" s="104"/>
      <c r="F118" s="105"/>
      <c r="G118" s="122"/>
    </row>
    <row r="119" spans="1:7">
      <c r="A119" s="104" t="s">
        <v>106</v>
      </c>
      <c r="B119" s="104"/>
      <c r="C119" s="104"/>
      <c r="D119" s="104"/>
      <c r="E119" s="104"/>
      <c r="F119" s="105"/>
      <c r="G119" s="122">
        <f>+G115*0.1</f>
        <v>3578.6822790714286</v>
      </c>
    </row>
    <row r="120" spans="1:7">
      <c r="A120" s="96"/>
      <c r="B120" s="96"/>
      <c r="C120" s="96"/>
      <c r="D120" s="96"/>
      <c r="E120" s="96"/>
      <c r="F120" s="96"/>
      <c r="G120" s="100"/>
    </row>
    <row r="121" spans="1:7" ht="13.5" thickBot="1">
      <c r="A121" s="104" t="s">
        <v>142</v>
      </c>
      <c r="B121" s="104"/>
      <c r="C121" s="104"/>
      <c r="D121" s="104"/>
      <c r="E121" s="104"/>
      <c r="F121" s="104"/>
      <c r="G121" s="112">
        <f>G115+G117-G119</f>
        <v>36502.559246528574</v>
      </c>
    </row>
    <row r="122" spans="1:7" ht="13.5" thickTop="1">
      <c r="A122" s="96"/>
      <c r="B122" s="96"/>
      <c r="C122" s="96"/>
      <c r="D122" s="96"/>
      <c r="E122" s="96"/>
      <c r="F122" s="96"/>
      <c r="G122" s="100"/>
    </row>
    <row r="123" spans="1:7">
      <c r="A123" s="104"/>
      <c r="B123" s="104"/>
      <c r="C123" s="104"/>
      <c r="D123" s="104"/>
      <c r="E123" s="104"/>
      <c r="F123" s="104"/>
      <c r="G123" s="114"/>
    </row>
    <row r="124" spans="1:7">
      <c r="A124" s="104"/>
      <c r="B124" s="104"/>
      <c r="C124" s="104"/>
      <c r="D124" s="104"/>
      <c r="E124" s="104"/>
      <c r="F124" s="104"/>
      <c r="G124" s="114"/>
    </row>
    <row r="125" spans="1:7">
      <c r="A125" s="115" t="s">
        <v>93</v>
      </c>
      <c r="B125" s="104"/>
      <c r="C125" s="104"/>
      <c r="D125" s="104"/>
      <c r="E125" s="104"/>
      <c r="F125" s="104"/>
      <c r="G125" s="114"/>
    </row>
    <row r="126" spans="1:7">
      <c r="A126" s="104"/>
      <c r="B126" s="104"/>
      <c r="C126" s="104"/>
      <c r="D126" s="104"/>
      <c r="E126" s="104"/>
      <c r="F126" s="104"/>
      <c r="G126" s="114"/>
    </row>
    <row r="127" spans="1:7">
      <c r="A127" s="96"/>
      <c r="B127" s="96"/>
      <c r="C127" s="96"/>
      <c r="D127" s="96"/>
      <c r="E127" s="96"/>
      <c r="F127" s="96"/>
      <c r="G127" s="96"/>
    </row>
    <row r="128" spans="1:7">
      <c r="A128" s="96" t="s">
        <v>88</v>
      </c>
      <c r="B128" s="96"/>
      <c r="C128" s="96"/>
      <c r="D128" s="96"/>
      <c r="E128" s="96"/>
      <c r="F128" s="96" t="s">
        <v>89</v>
      </c>
      <c r="G128" s="96"/>
    </row>
    <row r="129" spans="1:7">
      <c r="A129" s="96"/>
      <c r="B129" s="96"/>
      <c r="C129" s="96"/>
      <c r="D129" s="96"/>
      <c r="E129" s="96"/>
      <c r="F129" s="96"/>
      <c r="G129" s="96"/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4"/>
  <sheetViews>
    <sheetView workbookViewId="0">
      <selection activeCell="E26" sqref="E26"/>
    </sheetView>
  </sheetViews>
  <sheetFormatPr defaultRowHeight="15"/>
  <cols>
    <col min="4" max="4" width="10.85546875" customWidth="1"/>
    <col min="5" max="5" width="10.42578125" customWidth="1"/>
    <col min="6" max="6" width="11.85546875" customWidth="1"/>
  </cols>
  <sheetData>
    <row r="1" spans="1:6">
      <c r="A1" t="s">
        <v>120</v>
      </c>
    </row>
    <row r="2" spans="1:6">
      <c r="A2" t="s">
        <v>147</v>
      </c>
    </row>
    <row r="3" spans="1:6">
      <c r="A3" t="s">
        <v>121</v>
      </c>
    </row>
    <row r="5" spans="1:6">
      <c r="E5" t="s">
        <v>122</v>
      </c>
      <c r="F5" t="s">
        <v>97</v>
      </c>
    </row>
    <row r="6" spans="1:6">
      <c r="A6" t="s">
        <v>123</v>
      </c>
    </row>
    <row r="7" spans="1:6">
      <c r="A7" t="s">
        <v>124</v>
      </c>
    </row>
    <row r="8" spans="1:6">
      <c r="A8" t="s">
        <v>125</v>
      </c>
    </row>
    <row r="9" spans="1:6">
      <c r="A9" t="s">
        <v>126</v>
      </c>
    </row>
    <row r="10" spans="1:6">
      <c r="A10" t="s">
        <v>127</v>
      </c>
    </row>
    <row r="11" spans="1:6">
      <c r="A11" t="s">
        <v>128</v>
      </c>
    </row>
    <row r="12" spans="1:6">
      <c r="A12" t="s">
        <v>129</v>
      </c>
    </row>
    <row r="13" spans="1:6">
      <c r="A13" t="s">
        <v>130</v>
      </c>
    </row>
    <row r="14" spans="1:6">
      <c r="A14" t="s">
        <v>131</v>
      </c>
    </row>
    <row r="15" spans="1:6">
      <c r="A15" t="s">
        <v>132</v>
      </c>
    </row>
    <row r="16" spans="1:6">
      <c r="A16" t="s">
        <v>133</v>
      </c>
    </row>
    <row r="17" spans="1:6">
      <c r="A17" t="s">
        <v>134</v>
      </c>
    </row>
    <row r="19" spans="1:6">
      <c r="A19" t="s">
        <v>135</v>
      </c>
    </row>
    <row r="20" spans="1:6">
      <c r="A20" t="s">
        <v>136</v>
      </c>
    </row>
    <row r="21" spans="1:6">
      <c r="A21" t="s">
        <v>137</v>
      </c>
    </row>
    <row r="24" spans="1:6">
      <c r="A24" t="s">
        <v>45</v>
      </c>
      <c r="F24" s="155">
        <f>SUM(F7:F21)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SALES SUMMARY</vt:lpstr>
      <vt:lpstr>ENTRY</vt:lpstr>
      <vt:lpstr>SC</vt:lpstr>
      <vt:lpstr>M &amp; C VALERO</vt:lpstr>
      <vt:lpstr>van dough</vt:lpstr>
      <vt:lpstr>'M &amp; C VALERO'!Print_Area</vt:lpstr>
      <vt:lpstr>SC!Print_Area</vt:lpstr>
    </vt:vector>
  </TitlesOfParts>
  <Company>ADMIN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2013-07-01T04:03:09Z</cp:lastPrinted>
  <dcterms:created xsi:type="dcterms:W3CDTF">2013-01-10T00:59:22Z</dcterms:created>
  <dcterms:modified xsi:type="dcterms:W3CDTF">2018-05-02T04:53:38Z</dcterms:modified>
</cp:coreProperties>
</file>