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945" windowWidth="7620" windowHeight="7155" tabRatio="542"/>
  </bookViews>
  <sheets>
    <sheet name="SALES SUMMARY" sheetId="1" r:id="rId1"/>
    <sheet name="ENTRY" sheetId="2" r:id="rId2"/>
    <sheet name="SC" sheetId="3" r:id="rId3"/>
    <sheet name="M &amp; C VALERO" sheetId="4" r:id="rId4"/>
    <sheet name="van dough" sheetId="5" r:id="rId5"/>
  </sheets>
  <definedNames>
    <definedName name="_xlnm.Print_Area" localSheetId="3">'M &amp; C VALERO'!$A$1:$G$129</definedName>
    <definedName name="_xlnm.Print_Area" localSheetId="2">SC!$A$1:$O$73</definedName>
  </definedNames>
  <calcPr calcId="124519"/>
</workbook>
</file>

<file path=xl/calcChain.xml><?xml version="1.0" encoding="utf-8"?>
<calcChain xmlns="http://schemas.openxmlformats.org/spreadsheetml/2006/main">
  <c r="BA97" i="1"/>
  <c r="Z93"/>
  <c r="Z88"/>
  <c r="AK88"/>
  <c r="AL87"/>
  <c r="AM87" s="1"/>
  <c r="AN87" s="1"/>
  <c r="AK87"/>
  <c r="Z85"/>
  <c r="AK85"/>
  <c r="AL84"/>
  <c r="AM84" s="1"/>
  <c r="AN84" s="1"/>
  <c r="AK84"/>
  <c r="Z82"/>
  <c r="Z76"/>
  <c r="AL66"/>
  <c r="AM66" s="1"/>
  <c r="AN66" s="1"/>
  <c r="AK66"/>
  <c r="AK64"/>
  <c r="AL64" s="1"/>
  <c r="AM64" s="1"/>
  <c r="AN64" s="1"/>
  <c r="AK63"/>
  <c r="AL63" s="1"/>
  <c r="AM63" s="1"/>
  <c r="AN63" s="1"/>
  <c r="Z61"/>
  <c r="Z49"/>
  <c r="AK48"/>
  <c r="AL48" s="1"/>
  <c r="AM48" s="1"/>
  <c r="AN48" s="1"/>
  <c r="AO46"/>
  <c r="AK46"/>
  <c r="AL46" s="1"/>
  <c r="AM46" s="1"/>
  <c r="AN46" s="1"/>
  <c r="AK45"/>
  <c r="AL45" s="1"/>
  <c r="AM45" s="1"/>
  <c r="AN45" s="1"/>
  <c r="AK24"/>
  <c r="AL24" s="1"/>
  <c r="AM24" s="1"/>
  <c r="AN24" s="1"/>
  <c r="AL88" l="1"/>
  <c r="AM88" s="1"/>
  <c r="AN88" s="1"/>
  <c r="AL85"/>
  <c r="AM85" s="1"/>
  <c r="AN85" s="1"/>
  <c r="Z24"/>
  <c r="AK21"/>
  <c r="AL21" s="1"/>
  <c r="AM21" s="1"/>
  <c r="AN21" s="1"/>
  <c r="AK9"/>
  <c r="AL9" s="1"/>
  <c r="AM9" s="1"/>
  <c r="AN9" s="1"/>
  <c r="Z9"/>
  <c r="AK93"/>
  <c r="AL93" s="1"/>
  <c r="AM93" s="1"/>
  <c r="AN93" s="1"/>
  <c r="AK91"/>
  <c r="AL91" s="1"/>
  <c r="AM91" s="1"/>
  <c r="AN91" s="1"/>
  <c r="AK90"/>
  <c r="AL90" s="1"/>
  <c r="AM90" s="1"/>
  <c r="AN90" s="1"/>
  <c r="AK72"/>
  <c r="AL72" s="1"/>
  <c r="AM72" s="1"/>
  <c r="AN72" s="1"/>
  <c r="AK69"/>
  <c r="AL69" s="1"/>
  <c r="AM69" s="1"/>
  <c r="AN69" s="1"/>
  <c r="AL51"/>
  <c r="AM51" s="1"/>
  <c r="AN51" s="1"/>
  <c r="AL33"/>
  <c r="AM33" s="1"/>
  <c r="AN33" s="1"/>
  <c r="AK31"/>
  <c r="AL31" s="1"/>
  <c r="AM31" s="1"/>
  <c r="AN31" s="1"/>
  <c r="AK30"/>
  <c r="AL30" s="1"/>
  <c r="AM30" s="1"/>
  <c r="AN30" s="1"/>
  <c r="AK27"/>
  <c r="AL27" s="1"/>
  <c r="AM27" s="1"/>
  <c r="AN27" s="1"/>
  <c r="AK82" l="1"/>
  <c r="AL82" s="1"/>
  <c r="AM82" s="1"/>
  <c r="AN82" s="1"/>
  <c r="AK81"/>
  <c r="AL81" s="1"/>
  <c r="AM81" s="1"/>
  <c r="AN81" s="1"/>
  <c r="AK61"/>
  <c r="AL61" s="1"/>
  <c r="AM61" s="1"/>
  <c r="AN61" s="1"/>
  <c r="AK60"/>
  <c r="AL60" s="1"/>
  <c r="AM60" s="1"/>
  <c r="AN60" s="1"/>
  <c r="AK58"/>
  <c r="AL58" s="1"/>
  <c r="AM58" s="1"/>
  <c r="AN58" s="1"/>
  <c r="AL57"/>
  <c r="AM57" s="1"/>
  <c r="AN57" s="1"/>
  <c r="AK40"/>
  <c r="AL40" s="1"/>
  <c r="AM40" s="1"/>
  <c r="AN40" s="1"/>
  <c r="AK39"/>
  <c r="AL39" s="1"/>
  <c r="AM39" s="1"/>
  <c r="AN39" s="1"/>
  <c r="AL36"/>
  <c r="AM36" s="1"/>
  <c r="AN36" s="1"/>
  <c r="AK19"/>
  <c r="AL19" s="1"/>
  <c r="AM19" s="1"/>
  <c r="AN19" s="1"/>
  <c r="AK18"/>
  <c r="AL18" s="1"/>
  <c r="AM18" s="1"/>
  <c r="AN18" s="1"/>
  <c r="AK16"/>
  <c r="AL16" s="1"/>
  <c r="AM16" s="1"/>
  <c r="AN16" s="1"/>
  <c r="AL15"/>
  <c r="AM15" s="1"/>
  <c r="AN15" s="1"/>
  <c r="AK70" l="1"/>
  <c r="AL70" s="1"/>
  <c r="AM70" s="1"/>
  <c r="AN70" s="1"/>
  <c r="AK67" l="1"/>
  <c r="AL67" s="1"/>
  <c r="AM67" s="1"/>
  <c r="AN67" s="1"/>
  <c r="AK49"/>
  <c r="AL49" s="1"/>
  <c r="AM49" s="1"/>
  <c r="AN49" s="1"/>
  <c r="AK28"/>
  <c r="AL28" s="1"/>
  <c r="AM28" s="1"/>
  <c r="AN28" s="1"/>
  <c r="AK25"/>
  <c r="AL25" s="1"/>
  <c r="AM25" s="1"/>
  <c r="AN25" s="1"/>
  <c r="N22"/>
  <c r="M22"/>
  <c r="N21"/>
  <c r="M21"/>
  <c r="AK10"/>
  <c r="AL10" s="1"/>
  <c r="AM10" s="1"/>
  <c r="AN10" s="1"/>
  <c r="AI96"/>
  <c r="AH96"/>
  <c r="AG96"/>
  <c r="AK97"/>
  <c r="AL97" s="1"/>
  <c r="AM97" s="1"/>
  <c r="AN97" s="1"/>
  <c r="AR83"/>
  <c r="AK73"/>
  <c r="AL73" s="1"/>
  <c r="AM73" s="1"/>
  <c r="AN73" s="1"/>
  <c r="AK52"/>
  <c r="AL52" s="1"/>
  <c r="AM52" s="1"/>
  <c r="AN52" s="1"/>
  <c r="AI31"/>
  <c r="AH31"/>
  <c r="AG31"/>
  <c r="AI30"/>
  <c r="AH30"/>
  <c r="AG30"/>
  <c r="AK13"/>
  <c r="AL12"/>
  <c r="C103"/>
  <c r="AL96"/>
  <c r="AL78"/>
  <c r="AK62"/>
  <c r="S27" i="2" s="1"/>
  <c r="G87" i="1"/>
  <c r="G88"/>
  <c r="AZ64"/>
  <c r="G48"/>
  <c r="AK43"/>
  <c r="AL43" s="1"/>
  <c r="AM43" s="1"/>
  <c r="AL42"/>
  <c r="AK22"/>
  <c r="AL22" s="1"/>
  <c r="AM22" s="1"/>
  <c r="AN22" s="1"/>
  <c r="AK76"/>
  <c r="AL76" s="1"/>
  <c r="AM76" s="1"/>
  <c r="AN76" s="1"/>
  <c r="AL75"/>
  <c r="AL54"/>
  <c r="AM54" s="1"/>
  <c r="AN54" s="1"/>
  <c r="AK37"/>
  <c r="AL37" s="1"/>
  <c r="AM37" s="1"/>
  <c r="AN37" s="1"/>
  <c r="P13"/>
  <c r="N13"/>
  <c r="M13"/>
  <c r="AZ13"/>
  <c r="BR13" s="1"/>
  <c r="BR14" s="1"/>
  <c r="C34" i="2" s="1"/>
  <c r="AK79" i="1"/>
  <c r="AL79" s="1"/>
  <c r="AM79" s="1"/>
  <c r="G101"/>
  <c r="H101"/>
  <c r="M101"/>
  <c r="M103"/>
  <c r="N101"/>
  <c r="P101"/>
  <c r="T101"/>
  <c r="U101"/>
  <c r="V101"/>
  <c r="W101"/>
  <c r="AG101"/>
  <c r="AH101"/>
  <c r="AI101"/>
  <c r="AL101"/>
  <c r="AZ101"/>
  <c r="BC101"/>
  <c r="BD101"/>
  <c r="BR101"/>
  <c r="G102"/>
  <c r="H102"/>
  <c r="AF6" i="2"/>
  <c r="M102" i="1"/>
  <c r="N102"/>
  <c r="P102"/>
  <c r="T102"/>
  <c r="U102"/>
  <c r="W102"/>
  <c r="AG102"/>
  <c r="AH102"/>
  <c r="AH103"/>
  <c r="AI102"/>
  <c r="AK102"/>
  <c r="AL102"/>
  <c r="AZ102"/>
  <c r="BR102"/>
  <c r="AF34" i="2"/>
  <c r="AK94" i="1"/>
  <c r="AL94" s="1"/>
  <c r="AM94" s="1"/>
  <c r="AN94" s="1"/>
  <c r="BD25"/>
  <c r="C62"/>
  <c r="AZ67"/>
  <c r="BR67"/>
  <c r="BR68" s="1"/>
  <c r="U34" i="2" s="1"/>
  <c r="AI67" i="1"/>
  <c r="AH67"/>
  <c r="AG67"/>
  <c r="N67"/>
  <c r="M67"/>
  <c r="H67"/>
  <c r="G67"/>
  <c r="BD66"/>
  <c r="BC66"/>
  <c r="BR66"/>
  <c r="AZ66"/>
  <c r="AI66"/>
  <c r="AH66"/>
  <c r="AG66"/>
  <c r="N66"/>
  <c r="M66"/>
  <c r="H66"/>
  <c r="G66"/>
  <c r="BA56"/>
  <c r="H30"/>
  <c r="G30"/>
  <c r="BA86"/>
  <c r="H82"/>
  <c r="G82"/>
  <c r="H81"/>
  <c r="G81"/>
  <c r="G83" s="1"/>
  <c r="Z5" i="2" s="1"/>
  <c r="BA77" i="1"/>
  <c r="X31" i="2"/>
  <c r="BA65" i="1"/>
  <c r="AZ61"/>
  <c r="BR61"/>
  <c r="BR62" s="1"/>
  <c r="S34" i="2" s="1"/>
  <c r="AI61" i="1"/>
  <c r="AH61"/>
  <c r="AG61"/>
  <c r="W61"/>
  <c r="W62"/>
  <c r="S16" i="2"/>
  <c r="U61" i="1"/>
  <c r="T61"/>
  <c r="P61"/>
  <c r="N61"/>
  <c r="M61"/>
  <c r="H61"/>
  <c r="BA59"/>
  <c r="H90"/>
  <c r="H87"/>
  <c r="P82"/>
  <c r="N82"/>
  <c r="M82"/>
  <c r="P81"/>
  <c r="N81"/>
  <c r="M81"/>
  <c r="BA74"/>
  <c r="BA71"/>
  <c r="H70"/>
  <c r="G70"/>
  <c r="H69"/>
  <c r="G69"/>
  <c r="G71" s="1"/>
  <c r="V5" i="2" s="1"/>
  <c r="BA68" i="1"/>
  <c r="U31" i="2"/>
  <c r="BA50" i="1"/>
  <c r="O31" i="2"/>
  <c r="E98" i="1"/>
  <c r="AE3" i="2" s="1"/>
  <c r="N97" i="1"/>
  <c r="M97"/>
  <c r="N96"/>
  <c r="N98" s="1"/>
  <c r="AE10" i="2" s="1"/>
  <c r="M96" i="1"/>
  <c r="H97"/>
  <c r="G97"/>
  <c r="H96"/>
  <c r="G96"/>
  <c r="N91"/>
  <c r="M91"/>
  <c r="N90"/>
  <c r="M90"/>
  <c r="H91"/>
  <c r="G91"/>
  <c r="N70"/>
  <c r="O70" s="1"/>
  <c r="M70"/>
  <c r="N69"/>
  <c r="N71" s="1"/>
  <c r="V10" i="2" s="1"/>
  <c r="M69" i="1"/>
  <c r="O69" s="1"/>
  <c r="H55"/>
  <c r="G55"/>
  <c r="G56" s="1"/>
  <c r="Q5" i="2" s="1"/>
  <c r="H54" i="1"/>
  <c r="H56" s="1"/>
  <c r="Q6" i="2" s="1"/>
  <c r="G54" i="1"/>
  <c r="AG51"/>
  <c r="H52"/>
  <c r="G52"/>
  <c r="H51"/>
  <c r="G51"/>
  <c r="H49"/>
  <c r="G49"/>
  <c r="H48"/>
  <c r="H50" s="1"/>
  <c r="O6" i="2" s="1"/>
  <c r="BQ74" i="1"/>
  <c r="BP74"/>
  <c r="BO74"/>
  <c r="BN74"/>
  <c r="BM74"/>
  <c r="BL74"/>
  <c r="BK74"/>
  <c r="BJ74"/>
  <c r="BI74"/>
  <c r="BH74"/>
  <c r="BG74"/>
  <c r="BF74"/>
  <c r="BE74"/>
  <c r="BB74"/>
  <c r="AY74"/>
  <c r="AX74"/>
  <c r="AW74"/>
  <c r="AV74"/>
  <c r="AU74"/>
  <c r="AT74"/>
  <c r="AS74"/>
  <c r="AR74"/>
  <c r="AQ74"/>
  <c r="AP74"/>
  <c r="AO74"/>
  <c r="AJ74"/>
  <c r="Y74"/>
  <c r="W74"/>
  <c r="V74"/>
  <c r="U74"/>
  <c r="T74"/>
  <c r="S74"/>
  <c r="R74"/>
  <c r="P74"/>
  <c r="L74"/>
  <c r="K74"/>
  <c r="J74"/>
  <c r="I74"/>
  <c r="E74"/>
  <c r="D74"/>
  <c r="C74"/>
  <c r="BQ71"/>
  <c r="BP71"/>
  <c r="BO71"/>
  <c r="BN71"/>
  <c r="BM71"/>
  <c r="BL71"/>
  <c r="BK71"/>
  <c r="BJ71"/>
  <c r="BI71"/>
  <c r="BH71"/>
  <c r="BG71"/>
  <c r="BF71"/>
  <c r="BE71"/>
  <c r="BB71"/>
  <c r="AY71"/>
  <c r="AX71"/>
  <c r="AW71"/>
  <c r="AV71"/>
  <c r="AU71"/>
  <c r="AT71"/>
  <c r="AS71"/>
  <c r="AR71"/>
  <c r="AQ71"/>
  <c r="AP71"/>
  <c r="AO71"/>
  <c r="AJ71"/>
  <c r="Y71"/>
  <c r="W71"/>
  <c r="V71"/>
  <c r="U71"/>
  <c r="T71"/>
  <c r="S71"/>
  <c r="R71"/>
  <c r="P71"/>
  <c r="L71"/>
  <c r="K71"/>
  <c r="J71"/>
  <c r="I71"/>
  <c r="E71"/>
  <c r="V3" i="2" s="1"/>
  <c r="D71" i="1"/>
  <c r="C71"/>
  <c r="BQ68"/>
  <c r="BP68"/>
  <c r="BO68"/>
  <c r="BN68"/>
  <c r="BM68"/>
  <c r="BL68"/>
  <c r="BK68"/>
  <c r="BJ68"/>
  <c r="BI68"/>
  <c r="BH68"/>
  <c r="BG68"/>
  <c r="BF68"/>
  <c r="BE68"/>
  <c r="BB68"/>
  <c r="AY68"/>
  <c r="AX68"/>
  <c r="AW68"/>
  <c r="AV68"/>
  <c r="AU68"/>
  <c r="AT68"/>
  <c r="AS68"/>
  <c r="AR68"/>
  <c r="AQ68"/>
  <c r="AP68"/>
  <c r="AO68"/>
  <c r="AJ68"/>
  <c r="Y68"/>
  <c r="U17" i="2"/>
  <c r="W68" i="1"/>
  <c r="V68"/>
  <c r="U68"/>
  <c r="T68"/>
  <c r="U13" i="2"/>
  <c r="S68" i="1"/>
  <c r="R68"/>
  <c r="P68"/>
  <c r="L68"/>
  <c r="K68"/>
  <c r="J68"/>
  <c r="U8" i="2"/>
  <c r="I68" i="1"/>
  <c r="E68"/>
  <c r="U3" i="2" s="1"/>
  <c r="D68" i="1"/>
  <c r="C68"/>
  <c r="BQ65"/>
  <c r="BP65"/>
  <c r="BO65"/>
  <c r="BN65"/>
  <c r="BM65"/>
  <c r="BL65"/>
  <c r="BK65"/>
  <c r="BJ65"/>
  <c r="BI65"/>
  <c r="BG65"/>
  <c r="BF65"/>
  <c r="BE65"/>
  <c r="BB65"/>
  <c r="AY65"/>
  <c r="AX65"/>
  <c r="AW65"/>
  <c r="AV65"/>
  <c r="AU65"/>
  <c r="AT65"/>
  <c r="AS65"/>
  <c r="AR65"/>
  <c r="AQ65"/>
  <c r="AP65"/>
  <c r="AO65"/>
  <c r="AJ65"/>
  <c r="Y65"/>
  <c r="W65"/>
  <c r="T16" i="2"/>
  <c r="V65" i="1"/>
  <c r="U65"/>
  <c r="T65"/>
  <c r="S65"/>
  <c r="R65"/>
  <c r="P65"/>
  <c r="L65"/>
  <c r="K65"/>
  <c r="J65"/>
  <c r="T8" i="2"/>
  <c r="I65" i="1"/>
  <c r="E65"/>
  <c r="T3" i="2" s="1"/>
  <c r="D65" i="1"/>
  <c r="C65"/>
  <c r="BQ62"/>
  <c r="BP62"/>
  <c r="BO62"/>
  <c r="BN62"/>
  <c r="BM62"/>
  <c r="BL62"/>
  <c r="BK62"/>
  <c r="BJ62"/>
  <c r="BI62"/>
  <c r="BH62"/>
  <c r="BG62"/>
  <c r="BF62"/>
  <c r="BE62"/>
  <c r="BB62"/>
  <c r="BA62"/>
  <c r="S31" i="2" s="1"/>
  <c r="AY62" i="1"/>
  <c r="AX62"/>
  <c r="AW62"/>
  <c r="AV62"/>
  <c r="AU62"/>
  <c r="AT62"/>
  <c r="AS62"/>
  <c r="AR62"/>
  <c r="AQ62"/>
  <c r="AP62"/>
  <c r="AO62"/>
  <c r="AJ62"/>
  <c r="Y62"/>
  <c r="U62"/>
  <c r="S62"/>
  <c r="R62"/>
  <c r="P62"/>
  <c r="S12" i="2"/>
  <c r="L62" i="1"/>
  <c r="K62"/>
  <c r="J62"/>
  <c r="I62"/>
  <c r="E62"/>
  <c r="S3" i="2" s="1"/>
  <c r="D62" i="1"/>
  <c r="BQ59"/>
  <c r="BP59"/>
  <c r="BO59"/>
  <c r="BN59"/>
  <c r="BM59"/>
  <c r="BL59"/>
  <c r="BK59"/>
  <c r="BJ59"/>
  <c r="BI59"/>
  <c r="BH59"/>
  <c r="BG59"/>
  <c r="BF59"/>
  <c r="BE59"/>
  <c r="BB59"/>
  <c r="AY59"/>
  <c r="AX59"/>
  <c r="AW59"/>
  <c r="AV59"/>
  <c r="AU59"/>
  <c r="AT59"/>
  <c r="AS59"/>
  <c r="AR59"/>
  <c r="AQ59"/>
  <c r="AP59"/>
  <c r="AO59"/>
  <c r="AJ59"/>
  <c r="Y59"/>
  <c r="S59"/>
  <c r="R59"/>
  <c r="L59"/>
  <c r="K59"/>
  <c r="J59"/>
  <c r="I59"/>
  <c r="G59"/>
  <c r="E59"/>
  <c r="R3" i="2" s="1"/>
  <c r="D59" i="1"/>
  <c r="C59"/>
  <c r="BQ56"/>
  <c r="BP56"/>
  <c r="BO56"/>
  <c r="BN56"/>
  <c r="BM56"/>
  <c r="BL56"/>
  <c r="BK56"/>
  <c r="BJ56"/>
  <c r="BI56"/>
  <c r="BH56"/>
  <c r="BG56"/>
  <c r="BF56"/>
  <c r="BE56"/>
  <c r="BB56"/>
  <c r="AY56"/>
  <c r="AX56"/>
  <c r="AW56"/>
  <c r="AV56"/>
  <c r="AU56"/>
  <c r="AT56"/>
  <c r="AS56"/>
  <c r="AR56"/>
  <c r="AQ56"/>
  <c r="AP56"/>
  <c r="AO56"/>
  <c r="AJ56"/>
  <c r="Y56"/>
  <c r="W56"/>
  <c r="V56"/>
  <c r="U56"/>
  <c r="T56"/>
  <c r="S56"/>
  <c r="R56"/>
  <c r="P56"/>
  <c r="L56"/>
  <c r="K56"/>
  <c r="J56"/>
  <c r="I56"/>
  <c r="E56"/>
  <c r="Q3" i="2" s="1"/>
  <c r="D56" i="1"/>
  <c r="C56"/>
  <c r="BQ53"/>
  <c r="BP53"/>
  <c r="BO53"/>
  <c r="BN53"/>
  <c r="BM53"/>
  <c r="BL53"/>
  <c r="BK53"/>
  <c r="BJ53"/>
  <c r="BI53"/>
  <c r="BH53"/>
  <c r="BG53"/>
  <c r="BF53"/>
  <c r="BE53"/>
  <c r="BB53"/>
  <c r="BA53"/>
  <c r="AY53"/>
  <c r="AX53"/>
  <c r="AW53"/>
  <c r="AV53"/>
  <c r="AU53"/>
  <c r="AT53"/>
  <c r="AS53"/>
  <c r="AR53"/>
  <c r="AQ53"/>
  <c r="AP53"/>
  <c r="AO53"/>
  <c r="AJ53"/>
  <c r="Y53"/>
  <c r="W53"/>
  <c r="V53"/>
  <c r="U53"/>
  <c r="T53"/>
  <c r="S53"/>
  <c r="R53"/>
  <c r="P53"/>
  <c r="L53"/>
  <c r="K53"/>
  <c r="J53"/>
  <c r="I53"/>
  <c r="P7" i="2" s="1"/>
  <c r="E53" i="1"/>
  <c r="P3" i="2" s="1"/>
  <c r="D53" i="1"/>
  <c r="C53"/>
  <c r="BQ50"/>
  <c r="BP50"/>
  <c r="BO50"/>
  <c r="BN50"/>
  <c r="BM50"/>
  <c r="BL50"/>
  <c r="BK50"/>
  <c r="BJ50"/>
  <c r="BI50"/>
  <c r="BH50"/>
  <c r="BG50"/>
  <c r="BF50"/>
  <c r="BE50"/>
  <c r="BB50"/>
  <c r="AY50"/>
  <c r="AX50"/>
  <c r="AW50"/>
  <c r="AV50"/>
  <c r="AU50"/>
  <c r="AT50"/>
  <c r="AS50"/>
  <c r="AR50"/>
  <c r="AQ50"/>
  <c r="AP50"/>
  <c r="AO50"/>
  <c r="AJ50"/>
  <c r="Y50"/>
  <c r="W50"/>
  <c r="V50"/>
  <c r="U50"/>
  <c r="T50"/>
  <c r="S50"/>
  <c r="R50"/>
  <c r="P50"/>
  <c r="L50"/>
  <c r="K50"/>
  <c r="J50"/>
  <c r="I50"/>
  <c r="E50"/>
  <c r="O3" i="2" s="1"/>
  <c r="D50" i="1"/>
  <c r="C50"/>
  <c r="BQ47"/>
  <c r="BP47"/>
  <c r="BO47"/>
  <c r="BN47"/>
  <c r="BM47"/>
  <c r="BL47"/>
  <c r="BK47"/>
  <c r="BJ47"/>
  <c r="BI47"/>
  <c r="BH47"/>
  <c r="BG47"/>
  <c r="BF47"/>
  <c r="BE47"/>
  <c r="BB47"/>
  <c r="BA47"/>
  <c r="AY47"/>
  <c r="AX47"/>
  <c r="AW47"/>
  <c r="AV47"/>
  <c r="AU47"/>
  <c r="AT47"/>
  <c r="AS47"/>
  <c r="AR47"/>
  <c r="AQ47"/>
  <c r="AP47"/>
  <c r="AO47"/>
  <c r="AJ47"/>
  <c r="N26" i="2"/>
  <c r="Y47" i="1"/>
  <c r="W47"/>
  <c r="V47"/>
  <c r="U47"/>
  <c r="T47"/>
  <c r="N13" i="2"/>
  <c r="S47" i="1"/>
  <c r="R47"/>
  <c r="P47"/>
  <c r="L47"/>
  <c r="K47"/>
  <c r="J47"/>
  <c r="I47"/>
  <c r="N7" i="2" s="1"/>
  <c r="E47" i="1"/>
  <c r="N3" i="2" s="1"/>
  <c r="D47" i="1"/>
  <c r="C47"/>
  <c r="BQ44"/>
  <c r="BP44"/>
  <c r="BO44"/>
  <c r="BN44"/>
  <c r="BM44"/>
  <c r="BL44"/>
  <c r="BK44"/>
  <c r="BJ44"/>
  <c r="BI44"/>
  <c r="BH44"/>
  <c r="BG44"/>
  <c r="BF44"/>
  <c r="BE44"/>
  <c r="BB44"/>
  <c r="BA44"/>
  <c r="AY44"/>
  <c r="AX44"/>
  <c r="AW44"/>
  <c r="AV44"/>
  <c r="AU44"/>
  <c r="AT44"/>
  <c r="AS44"/>
  <c r="AR44"/>
  <c r="AQ44"/>
  <c r="AP44"/>
  <c r="AO44"/>
  <c r="AJ44"/>
  <c r="Y44"/>
  <c r="W44"/>
  <c r="V44"/>
  <c r="U44"/>
  <c r="T44"/>
  <c r="S44"/>
  <c r="R44"/>
  <c r="P44"/>
  <c r="L44"/>
  <c r="K44"/>
  <c r="J44"/>
  <c r="I44"/>
  <c r="E44"/>
  <c r="M3" i="2" s="1"/>
  <c r="D44" i="1"/>
  <c r="C44"/>
  <c r="L41"/>
  <c r="K41"/>
  <c r="J41"/>
  <c r="I41"/>
  <c r="L38"/>
  <c r="K38"/>
  <c r="J38"/>
  <c r="I38"/>
  <c r="K11"/>
  <c r="K14"/>
  <c r="N14" s="1"/>
  <c r="K17"/>
  <c r="M17" s="1"/>
  <c r="K20"/>
  <c r="K23"/>
  <c r="K29"/>
  <c r="K32"/>
  <c r="H40"/>
  <c r="G40"/>
  <c r="H39"/>
  <c r="H41" s="1"/>
  <c r="L6" i="2" s="1"/>
  <c r="G39" i="1"/>
  <c r="H34"/>
  <c r="G34"/>
  <c r="G35" s="1"/>
  <c r="J5" i="2" s="1"/>
  <c r="H33" i="1"/>
  <c r="H35" s="1"/>
  <c r="J6" i="2" s="1"/>
  <c r="G33" i="1"/>
  <c r="H31"/>
  <c r="H32" s="1"/>
  <c r="I6" i="2" s="1"/>
  <c r="G31" i="1"/>
  <c r="G32" s="1"/>
  <c r="I5" i="2" s="1"/>
  <c r="N31" i="1"/>
  <c r="M31"/>
  <c r="N30"/>
  <c r="N32" s="1"/>
  <c r="I10" i="2" s="1"/>
  <c r="M30" i="1"/>
  <c r="N28"/>
  <c r="M28"/>
  <c r="N27"/>
  <c r="M27"/>
  <c r="H28"/>
  <c r="G28"/>
  <c r="H27"/>
  <c r="G27"/>
  <c r="N12"/>
  <c r="M12"/>
  <c r="N94"/>
  <c r="M94"/>
  <c r="N93"/>
  <c r="N95" s="1"/>
  <c r="AD10" i="2" s="1"/>
  <c r="M93" i="1"/>
  <c r="M95" s="1"/>
  <c r="AD9" i="2" s="1"/>
  <c r="H94" i="1"/>
  <c r="G94"/>
  <c r="H93"/>
  <c r="G93"/>
  <c r="G95" s="1"/>
  <c r="AD5" i="2" s="1"/>
  <c r="N88" i="1"/>
  <c r="M88"/>
  <c r="N87"/>
  <c r="M87"/>
  <c r="H88"/>
  <c r="N85"/>
  <c r="M85"/>
  <c r="N84"/>
  <c r="M84"/>
  <c r="H85"/>
  <c r="G85"/>
  <c r="H84"/>
  <c r="H86" s="1"/>
  <c r="AA6" i="2" s="1"/>
  <c r="G84" i="1"/>
  <c r="N76"/>
  <c r="M76"/>
  <c r="N75"/>
  <c r="M75"/>
  <c r="H76"/>
  <c r="G76"/>
  <c r="H75"/>
  <c r="G75"/>
  <c r="N73"/>
  <c r="M73"/>
  <c r="H73"/>
  <c r="G73"/>
  <c r="N72"/>
  <c r="N74" s="1"/>
  <c r="W10" i="2" s="1"/>
  <c r="M72" i="1"/>
  <c r="M74" s="1"/>
  <c r="W9" i="2" s="1"/>
  <c r="H72" i="1"/>
  <c r="G72"/>
  <c r="G74" s="1"/>
  <c r="W5" i="2" s="1"/>
  <c r="N64" i="1"/>
  <c r="M64"/>
  <c r="N63"/>
  <c r="M63"/>
  <c r="H64"/>
  <c r="G64"/>
  <c r="H63"/>
  <c r="H65" s="1"/>
  <c r="T6" i="2" s="1"/>
  <c r="G63" i="1"/>
  <c r="G65" s="1"/>
  <c r="T5" i="2" s="1"/>
  <c r="N60" i="1"/>
  <c r="N62" s="1"/>
  <c r="S10" i="2" s="1"/>
  <c r="M60" i="1"/>
  <c r="H60"/>
  <c r="H62" s="1"/>
  <c r="S6" i="2" s="1"/>
  <c r="G62" i="1"/>
  <c r="AK55"/>
  <c r="AL55" s="1"/>
  <c r="N55"/>
  <c r="M55"/>
  <c r="N54"/>
  <c r="N56" s="1"/>
  <c r="Q10" i="2" s="1"/>
  <c r="M54" i="1"/>
  <c r="M56" s="1"/>
  <c r="Q9" i="2" s="1"/>
  <c r="N49" i="1"/>
  <c r="M49"/>
  <c r="N48"/>
  <c r="N50" s="1"/>
  <c r="O10" i="2" s="1"/>
  <c r="M48" i="1"/>
  <c r="AG45"/>
  <c r="AH45"/>
  <c r="AI45"/>
  <c r="N52"/>
  <c r="M52"/>
  <c r="N51"/>
  <c r="M51"/>
  <c r="N46"/>
  <c r="M46"/>
  <c r="N45"/>
  <c r="M45"/>
  <c r="H46"/>
  <c r="G46"/>
  <c r="G47" s="1"/>
  <c r="N5" i="2" s="1"/>
  <c r="H45" i="1"/>
  <c r="H47" s="1"/>
  <c r="N6" i="2" s="1"/>
  <c r="N42" i="1"/>
  <c r="M42"/>
  <c r="N43"/>
  <c r="M43"/>
  <c r="H43"/>
  <c r="G43"/>
  <c r="H42"/>
  <c r="H44" s="1"/>
  <c r="M6" i="2" s="1"/>
  <c r="G42" i="1"/>
  <c r="G44" s="1"/>
  <c r="M5" i="2" s="1"/>
  <c r="N40" i="1"/>
  <c r="M40"/>
  <c r="N39"/>
  <c r="N41" s="1"/>
  <c r="L10" i="2" s="1"/>
  <c r="M39" i="1"/>
  <c r="N34"/>
  <c r="M34"/>
  <c r="N33"/>
  <c r="M33"/>
  <c r="N25"/>
  <c r="M25"/>
  <c r="N24"/>
  <c r="M24"/>
  <c r="M26" s="1"/>
  <c r="G9" i="2" s="1"/>
  <c r="H25" i="1"/>
  <c r="G25"/>
  <c r="H24"/>
  <c r="H26" s="1"/>
  <c r="G24"/>
  <c r="N23"/>
  <c r="F10" i="2" s="1"/>
  <c r="H22" i="1"/>
  <c r="G22"/>
  <c r="H21"/>
  <c r="H23" s="1"/>
  <c r="F6" i="2" s="1"/>
  <c r="G21" i="1"/>
  <c r="G23" s="1"/>
  <c r="F5" i="2" s="1"/>
  <c r="N19" i="1"/>
  <c r="M19"/>
  <c r="N18"/>
  <c r="M18"/>
  <c r="H19"/>
  <c r="G19"/>
  <c r="H18"/>
  <c r="H20" s="1"/>
  <c r="E6" i="2" s="1"/>
  <c r="G18" i="1"/>
  <c r="G20" s="1"/>
  <c r="E5" i="2" s="1"/>
  <c r="H13" i="1"/>
  <c r="G13"/>
  <c r="H12"/>
  <c r="H14" s="1"/>
  <c r="C6" i="2" s="1"/>
  <c r="G12" i="1"/>
  <c r="G14" s="1"/>
  <c r="C11"/>
  <c r="D11"/>
  <c r="E11"/>
  <c r="B3" i="2" s="1"/>
  <c r="A12" i="1"/>
  <c r="A15" s="1"/>
  <c r="C14"/>
  <c r="D14"/>
  <c r="E14"/>
  <c r="C3" i="2" s="1"/>
  <c r="C17" i="1"/>
  <c r="D17"/>
  <c r="E17"/>
  <c r="D3" i="2" s="1"/>
  <c r="C20" i="1"/>
  <c r="D20"/>
  <c r="E20"/>
  <c r="E3" i="2" s="1"/>
  <c r="C23" i="1"/>
  <c r="D23"/>
  <c r="E23"/>
  <c r="C26"/>
  <c r="D26"/>
  <c r="E26"/>
  <c r="G3" i="2" s="1"/>
  <c r="C29" i="1"/>
  <c r="D29"/>
  <c r="E29"/>
  <c r="C32"/>
  <c r="D32"/>
  <c r="E32"/>
  <c r="I3" i="2" s="1"/>
  <c r="C35" i="1"/>
  <c r="D35"/>
  <c r="E35"/>
  <c r="J3" i="2" s="1"/>
  <c r="C38" i="1"/>
  <c r="D38"/>
  <c r="E38"/>
  <c r="C41"/>
  <c r="D41"/>
  <c r="E41"/>
  <c r="L3" i="2" s="1"/>
  <c r="C77" i="1"/>
  <c r="D77"/>
  <c r="E77"/>
  <c r="X3" i="2" s="1"/>
  <c r="C80" i="1"/>
  <c r="D80"/>
  <c r="E80"/>
  <c r="C83"/>
  <c r="D83"/>
  <c r="E83"/>
  <c r="Z3" i="2" s="1"/>
  <c r="C86" i="1"/>
  <c r="D86"/>
  <c r="E86"/>
  <c r="AA3" i="2" s="1"/>
  <c r="C89" i="1"/>
  <c r="D89"/>
  <c r="E89"/>
  <c r="AB3" i="2" s="1"/>
  <c r="C92" i="1"/>
  <c r="D92"/>
  <c r="E92"/>
  <c r="AC3" i="2" s="1"/>
  <c r="C95" i="1"/>
  <c r="D95"/>
  <c r="E95"/>
  <c r="AD3" i="2" s="1"/>
  <c r="C98" i="1"/>
  <c r="D98"/>
  <c r="F24" i="5"/>
  <c r="AP41" i="1"/>
  <c r="AZ43"/>
  <c r="AI43"/>
  <c r="AH43"/>
  <c r="AH44" s="1"/>
  <c r="M24" i="2" s="1"/>
  <c r="AG43" i="1"/>
  <c r="BD42"/>
  <c r="BD44"/>
  <c r="BC42"/>
  <c r="BC44"/>
  <c r="AZ42"/>
  <c r="BR42"/>
  <c r="AI42"/>
  <c r="AH42"/>
  <c r="AG42"/>
  <c r="M15" i="2"/>
  <c r="W16" i="1"/>
  <c r="U16"/>
  <c r="T16"/>
  <c r="P16"/>
  <c r="N16"/>
  <c r="M16"/>
  <c r="H16"/>
  <c r="G16"/>
  <c r="Y35"/>
  <c r="X35"/>
  <c r="S35"/>
  <c r="R35"/>
  <c r="Q35"/>
  <c r="L35"/>
  <c r="K35"/>
  <c r="J35"/>
  <c r="I35"/>
  <c r="AZ97"/>
  <c r="BR97" s="1"/>
  <c r="BR98" s="1"/>
  <c r="AE34" i="2" s="1"/>
  <c r="AI97" i="1"/>
  <c r="AH97"/>
  <c r="AH98" s="1"/>
  <c r="AE24" i="2" s="1"/>
  <c r="AG97" i="1"/>
  <c r="BD96"/>
  <c r="BC96"/>
  <c r="BC98"/>
  <c r="AZ96"/>
  <c r="BR96"/>
  <c r="V98"/>
  <c r="H98"/>
  <c r="AE6" i="2" s="1"/>
  <c r="BQ103" i="1"/>
  <c r="BP103"/>
  <c r="BO103"/>
  <c r="BN103"/>
  <c r="BM103"/>
  <c r="BL103"/>
  <c r="BK103"/>
  <c r="BJ103"/>
  <c r="BI103"/>
  <c r="BH103"/>
  <c r="BG103"/>
  <c r="BF103"/>
  <c r="BE103"/>
  <c r="BB103"/>
  <c r="AY103"/>
  <c r="AX103"/>
  <c r="AW103"/>
  <c r="AV103"/>
  <c r="AU103"/>
  <c r="AT103"/>
  <c r="AS103"/>
  <c r="AR103"/>
  <c r="AQ103"/>
  <c r="AP103"/>
  <c r="AO103"/>
  <c r="AJ103"/>
  <c r="Y103"/>
  <c r="S103"/>
  <c r="R103"/>
  <c r="L103"/>
  <c r="J103"/>
  <c r="I103"/>
  <c r="E103"/>
  <c r="D103"/>
  <c r="AF25" i="2"/>
  <c r="AF5"/>
  <c r="BD103" i="1"/>
  <c r="BC103"/>
  <c r="W103"/>
  <c r="T103"/>
  <c r="N103"/>
  <c r="H103"/>
  <c r="I98"/>
  <c r="J98"/>
  <c r="L98"/>
  <c r="P98"/>
  <c r="R98"/>
  <c r="S98"/>
  <c r="T98"/>
  <c r="U98"/>
  <c r="AE14" i="2"/>
  <c r="W98" i="1"/>
  <c r="AE16" i="2"/>
  <c r="Y98" i="1"/>
  <c r="AJ98"/>
  <c r="AO98"/>
  <c r="AP98"/>
  <c r="AQ98"/>
  <c r="AR98"/>
  <c r="AS98"/>
  <c r="AT98"/>
  <c r="AU98"/>
  <c r="AV98"/>
  <c r="AW98"/>
  <c r="AX98"/>
  <c r="AY98"/>
  <c r="BA98"/>
  <c r="AE31" i="2" s="1"/>
  <c r="BB98" i="1"/>
  <c r="BD98"/>
  <c r="AE33" i="2"/>
  <c r="BE98" i="1"/>
  <c r="BF98"/>
  <c r="BG98"/>
  <c r="BH98"/>
  <c r="BI98"/>
  <c r="BJ98"/>
  <c r="BK98"/>
  <c r="BL98"/>
  <c r="BM98"/>
  <c r="BN98"/>
  <c r="BO98"/>
  <c r="BP98"/>
  <c r="BQ98"/>
  <c r="G99"/>
  <c r="H99"/>
  <c r="M99"/>
  <c r="N99"/>
  <c r="P99"/>
  <c r="T99"/>
  <c r="U99"/>
  <c r="W99"/>
  <c r="AG99"/>
  <c r="AH99"/>
  <c r="AI99"/>
  <c r="AK99"/>
  <c r="AL99" s="1"/>
  <c r="AM99" s="1"/>
  <c r="AN99" s="1"/>
  <c r="AZ99"/>
  <c r="BC99"/>
  <c r="BD99"/>
  <c r="AE26" i="2"/>
  <c r="G100" i="1"/>
  <c r="H100"/>
  <c r="M100"/>
  <c r="N100"/>
  <c r="P100"/>
  <c r="AF12" i="2"/>
  <c r="T100" i="1"/>
  <c r="U100"/>
  <c r="W100"/>
  <c r="AG100"/>
  <c r="AH100"/>
  <c r="AI100"/>
  <c r="AK100"/>
  <c r="AL100" s="1"/>
  <c r="AM100" s="1"/>
  <c r="AN100" s="1"/>
  <c r="AZ100"/>
  <c r="BR100" s="1"/>
  <c r="AF9" i="2"/>
  <c r="AF17"/>
  <c r="AF26"/>
  <c r="AF32"/>
  <c r="M92" i="1"/>
  <c r="AZ82"/>
  <c r="BR82" s="1"/>
  <c r="AI82"/>
  <c r="AH82"/>
  <c r="AG82"/>
  <c r="N79"/>
  <c r="M79"/>
  <c r="N78"/>
  <c r="N80" s="1"/>
  <c r="Y10" i="2" s="1"/>
  <c r="M78" i="1"/>
  <c r="N58"/>
  <c r="M58"/>
  <c r="N57"/>
  <c r="N59"/>
  <c r="R10" i="2" s="1"/>
  <c r="M57" i="1"/>
  <c r="O57" s="1"/>
  <c r="N37"/>
  <c r="M37"/>
  <c r="N36"/>
  <c r="M36"/>
  <c r="M38" s="1"/>
  <c r="K9" i="2" s="1"/>
  <c r="AN23" i="1"/>
  <c r="P15"/>
  <c r="N15"/>
  <c r="M15"/>
  <c r="M10"/>
  <c r="N10"/>
  <c r="O10" s="1"/>
  <c r="O11" s="1"/>
  <c r="B11" i="2" s="1"/>
  <c r="P10" i="1"/>
  <c r="BA80"/>
  <c r="Y31" i="2" s="1"/>
  <c r="AZ76" i="1"/>
  <c r="BR76" s="1"/>
  <c r="BR77" s="1"/>
  <c r="X34" i="2" s="1"/>
  <c r="AI76" i="1"/>
  <c r="AH76"/>
  <c r="AG76"/>
  <c r="BD75"/>
  <c r="BC75"/>
  <c r="BC77"/>
  <c r="AZ75"/>
  <c r="AI75"/>
  <c r="AI77" s="1"/>
  <c r="X25" i="2" s="1"/>
  <c r="AH75" i="1"/>
  <c r="AG75"/>
  <c r="AG77" s="1"/>
  <c r="X23" i="2" s="1"/>
  <c r="BF95" i="1"/>
  <c r="BF92"/>
  <c r="BF89"/>
  <c r="BF86"/>
  <c r="BF83"/>
  <c r="BF80"/>
  <c r="BF77"/>
  <c r="BF41"/>
  <c r="BF38"/>
  <c r="BF35"/>
  <c r="BF32"/>
  <c r="BF29"/>
  <c r="BF26"/>
  <c r="BF23"/>
  <c r="BF20"/>
  <c r="BF17"/>
  <c r="BF14"/>
  <c r="BF11"/>
  <c r="BF105"/>
  <c r="BD9"/>
  <c r="AZ9"/>
  <c r="AU95"/>
  <c r="AU92"/>
  <c r="AU89"/>
  <c r="AU86"/>
  <c r="AU83"/>
  <c r="AU80"/>
  <c r="AU77"/>
  <c r="AU41"/>
  <c r="AU38"/>
  <c r="AU35"/>
  <c r="AU32"/>
  <c r="AU29"/>
  <c r="AU26"/>
  <c r="AU23"/>
  <c r="AU20"/>
  <c r="AU17"/>
  <c r="AU14"/>
  <c r="AU11"/>
  <c r="C26" i="3"/>
  <c r="E26" s="1"/>
  <c r="C23"/>
  <c r="E23" s="1"/>
  <c r="BD93" i="1"/>
  <c r="BC93"/>
  <c r="BC95"/>
  <c r="BD90"/>
  <c r="BC90"/>
  <c r="BC92"/>
  <c r="BD87"/>
  <c r="BD89"/>
  <c r="BC87"/>
  <c r="BC89"/>
  <c r="BD84"/>
  <c r="BD86"/>
  <c r="BC84"/>
  <c r="BC86"/>
  <c r="BD81"/>
  <c r="BC81"/>
  <c r="BC83"/>
  <c r="BD78"/>
  <c r="BC78"/>
  <c r="BC80"/>
  <c r="BD73"/>
  <c r="BD74" s="1"/>
  <c r="BC73"/>
  <c r="BC74" s="1"/>
  <c r="BC105" s="1"/>
  <c r="C108" s="1"/>
  <c r="BD72"/>
  <c r="BC72"/>
  <c r="BD69"/>
  <c r="BD71"/>
  <c r="BC69"/>
  <c r="BC71"/>
  <c r="BD68"/>
  <c r="BC68"/>
  <c r="BD63"/>
  <c r="BD65"/>
  <c r="BC63"/>
  <c r="BC65"/>
  <c r="BD60"/>
  <c r="BD62"/>
  <c r="BC60"/>
  <c r="BC62"/>
  <c r="BD57"/>
  <c r="BD59"/>
  <c r="BC57"/>
  <c r="BC59"/>
  <c r="BD54"/>
  <c r="BD56"/>
  <c r="BC54"/>
  <c r="BC56"/>
  <c r="BD51"/>
  <c r="BD53"/>
  <c r="BC51"/>
  <c r="BC53"/>
  <c r="BD48"/>
  <c r="BD50"/>
  <c r="BC48"/>
  <c r="BC50"/>
  <c r="BD45"/>
  <c r="BD47"/>
  <c r="BC45"/>
  <c r="BC47"/>
  <c r="BD39"/>
  <c r="BC39"/>
  <c r="BC41"/>
  <c r="BD36"/>
  <c r="BC36"/>
  <c r="BC38"/>
  <c r="BD33"/>
  <c r="BC33"/>
  <c r="BC35"/>
  <c r="BD30"/>
  <c r="BC30"/>
  <c r="BC32"/>
  <c r="BD28"/>
  <c r="BD27"/>
  <c r="BC27"/>
  <c r="BC29"/>
  <c r="BC25"/>
  <c r="BD24"/>
  <c r="BC24"/>
  <c r="BC26"/>
  <c r="BD21"/>
  <c r="BC21"/>
  <c r="BC23"/>
  <c r="BD18"/>
  <c r="BC18"/>
  <c r="BC20"/>
  <c r="BD15"/>
  <c r="BC15"/>
  <c r="BC17"/>
  <c r="BD12"/>
  <c r="BC12"/>
  <c r="BC14"/>
  <c r="C33" i="2"/>
  <c r="BD10" i="1"/>
  <c r="BC9"/>
  <c r="C48" i="3"/>
  <c r="F48" s="1"/>
  <c r="A11"/>
  <c r="A14"/>
  <c r="A17"/>
  <c r="A20"/>
  <c r="A23"/>
  <c r="A26"/>
  <c r="A29"/>
  <c r="A32"/>
  <c r="A35"/>
  <c r="A38"/>
  <c r="A41"/>
  <c r="A44"/>
  <c r="A47"/>
  <c r="A50"/>
  <c r="AK34" i="1"/>
  <c r="AK35" s="1"/>
  <c r="J27" i="2" s="1"/>
  <c r="A5" i="4"/>
  <c r="A103" s="1"/>
  <c r="A3"/>
  <c r="A37" s="1"/>
  <c r="A69" s="1"/>
  <c r="A101" s="1"/>
  <c r="Z18" i="2"/>
  <c r="BQ107" i="1"/>
  <c r="BP107"/>
  <c r="BO107"/>
  <c r="BN107"/>
  <c r="BM107"/>
  <c r="BL107"/>
  <c r="K54" i="3"/>
  <c r="M54" s="1"/>
  <c r="K53"/>
  <c r="N53" s="1"/>
  <c r="K51"/>
  <c r="M51" s="1"/>
  <c r="K50"/>
  <c r="M50" s="1"/>
  <c r="K48"/>
  <c r="M48" s="1"/>
  <c r="K47"/>
  <c r="N47" s="1"/>
  <c r="K45"/>
  <c r="M45" s="1"/>
  <c r="K42"/>
  <c r="M42" s="1"/>
  <c r="K41"/>
  <c r="M41" s="1"/>
  <c r="K39"/>
  <c r="M39" s="1"/>
  <c r="K38"/>
  <c r="M38" s="1"/>
  <c r="K35"/>
  <c r="L35" s="1"/>
  <c r="K33"/>
  <c r="M33" s="1"/>
  <c r="K32"/>
  <c r="L32" s="1"/>
  <c r="K29"/>
  <c r="N29" s="1"/>
  <c r="K26"/>
  <c r="N26" s="1"/>
  <c r="K23"/>
  <c r="L23" s="1"/>
  <c r="K21"/>
  <c r="M21" s="1"/>
  <c r="K20"/>
  <c r="L20" s="1"/>
  <c r="K18"/>
  <c r="M18" s="1"/>
  <c r="K17"/>
  <c r="M17" s="1"/>
  <c r="K15"/>
  <c r="M15" s="1"/>
  <c r="K14"/>
  <c r="L14" s="1"/>
  <c r="K12"/>
  <c r="M12" s="1"/>
  <c r="K11"/>
  <c r="M11" s="1"/>
  <c r="K9"/>
  <c r="N9" s="1"/>
  <c r="K8"/>
  <c r="M8" s="1"/>
  <c r="C51"/>
  <c r="D51" s="1"/>
  <c r="C50"/>
  <c r="E50" s="1"/>
  <c r="C47"/>
  <c r="E47" s="1"/>
  <c r="C44"/>
  <c r="E44" s="1"/>
  <c r="C42"/>
  <c r="F42" s="1"/>
  <c r="C39"/>
  <c r="F39" s="1"/>
  <c r="C38"/>
  <c r="F38" s="1"/>
  <c r="C36"/>
  <c r="F36" s="1"/>
  <c r="C35"/>
  <c r="E35" s="1"/>
  <c r="C33"/>
  <c r="F33" s="1"/>
  <c r="C32"/>
  <c r="F32" s="1"/>
  <c r="C30"/>
  <c r="F30" s="1"/>
  <c r="C27"/>
  <c r="D27" s="1"/>
  <c r="C24"/>
  <c r="F24" s="1"/>
  <c r="C20"/>
  <c r="E20" s="1"/>
  <c r="C18"/>
  <c r="F18" s="1"/>
  <c r="C14"/>
  <c r="E14" s="1"/>
  <c r="C12"/>
  <c r="F12" s="1"/>
  <c r="C11"/>
  <c r="E11" s="1"/>
  <c r="C9"/>
  <c r="F9" s="1"/>
  <c r="C8"/>
  <c r="F8" s="1"/>
  <c r="A1"/>
  <c r="BA38" i="1"/>
  <c r="K31" i="2"/>
  <c r="G21"/>
  <c r="AI10" i="1"/>
  <c r="AI13"/>
  <c r="AI18"/>
  <c r="AI19"/>
  <c r="AI20"/>
  <c r="E25" i="2" s="1"/>
  <c r="AI21" i="1"/>
  <c r="AI22"/>
  <c r="AI24"/>
  <c r="AI25"/>
  <c r="AI26" s="1"/>
  <c r="G25" i="2" s="1"/>
  <c r="AI27" i="1"/>
  <c r="AI28"/>
  <c r="AI34"/>
  <c r="AI33"/>
  <c r="AI36"/>
  <c r="AI37"/>
  <c r="AI39"/>
  <c r="AI40"/>
  <c r="AI46"/>
  <c r="AI48"/>
  <c r="AI49"/>
  <c r="AI51"/>
  <c r="AI52"/>
  <c r="AI53"/>
  <c r="AI55"/>
  <c r="AI60"/>
  <c r="AI63"/>
  <c r="AI64"/>
  <c r="AI65"/>
  <c r="T25" i="2" s="1"/>
  <c r="AJ14" i="1"/>
  <c r="AJ29"/>
  <c r="AJ32"/>
  <c r="AJ41"/>
  <c r="Z105"/>
  <c r="B18" i="2"/>
  <c r="BH83" i="1"/>
  <c r="AR17"/>
  <c r="AR20"/>
  <c r="AR32"/>
  <c r="AR41"/>
  <c r="AR23"/>
  <c r="AQ14"/>
  <c r="AQ17"/>
  <c r="AQ32"/>
  <c r="AQ35"/>
  <c r="AQ38"/>
  <c r="AQ41"/>
  <c r="AQ11"/>
  <c r="AQ23"/>
  <c r="AP92"/>
  <c r="AP17"/>
  <c r="AP23"/>
  <c r="AP32"/>
  <c r="AP35"/>
  <c r="AP26"/>
  <c r="AO17"/>
  <c r="AO29"/>
  <c r="AO32"/>
  <c r="AO35"/>
  <c r="AO41"/>
  <c r="AO11"/>
  <c r="AO20"/>
  <c r="AZ91"/>
  <c r="BR91" s="1"/>
  <c r="AZ63"/>
  <c r="AZ58"/>
  <c r="AZ59" s="1"/>
  <c r="R30" i="2" s="1"/>
  <c r="AZ16" i="1"/>
  <c r="AZ19"/>
  <c r="BR19" s="1"/>
  <c r="AZ22"/>
  <c r="BR22" s="1"/>
  <c r="BR23" s="1"/>
  <c r="F34" i="2" s="1"/>
  <c r="AZ28" i="1"/>
  <c r="BR28" s="1"/>
  <c r="BR29" s="1"/>
  <c r="H34" i="2" s="1"/>
  <c r="AZ31" i="1"/>
  <c r="BR31" s="1"/>
  <c r="BR32" s="1"/>
  <c r="I34" i="2" s="1"/>
  <c r="AZ34" i="1"/>
  <c r="AZ35" s="1"/>
  <c r="J30" i="2" s="1"/>
  <c r="AZ37" i="1"/>
  <c r="BR37" s="1"/>
  <c r="BR38" s="1"/>
  <c r="K34" i="2" s="1"/>
  <c r="AZ39" i="1"/>
  <c r="AZ40"/>
  <c r="BR40" s="1"/>
  <c r="BR41" s="1"/>
  <c r="L34" i="2" s="1"/>
  <c r="AZ49" i="1"/>
  <c r="BR49" s="1"/>
  <c r="AZ51"/>
  <c r="AZ10"/>
  <c r="AZ46"/>
  <c r="BR46" s="1"/>
  <c r="BR47" s="1"/>
  <c r="N34" i="2" s="1"/>
  <c r="AZ55" i="1"/>
  <c r="BR55" s="1"/>
  <c r="BR56" s="1"/>
  <c r="Q34" i="2" s="1"/>
  <c r="BA32" i="1"/>
  <c r="I31" i="2"/>
  <c r="BA95" i="1"/>
  <c r="AD31" i="2" s="1"/>
  <c r="BA20" i="1"/>
  <c r="BA29"/>
  <c r="BH14"/>
  <c r="BH26"/>
  <c r="BG17"/>
  <c r="BG20"/>
  <c r="BE17"/>
  <c r="BE41"/>
  <c r="BE11"/>
  <c r="BE26"/>
  <c r="AJ17"/>
  <c r="AJ38"/>
  <c r="Q26" i="2"/>
  <c r="AJ77" i="1"/>
  <c r="X26" i="2"/>
  <c r="AJ80" i="1"/>
  <c r="AJ83"/>
  <c r="AJ92"/>
  <c r="AC26" i="2"/>
  <c r="AJ95" i="1"/>
  <c r="I1" i="3"/>
  <c r="C15"/>
  <c r="E15" s="1"/>
  <c r="E16" s="1"/>
  <c r="C17"/>
  <c r="D17" s="1"/>
  <c r="C21"/>
  <c r="D21" s="1"/>
  <c r="C29"/>
  <c r="F29" s="1"/>
  <c r="C41"/>
  <c r="F41" s="1"/>
  <c r="C45"/>
  <c r="D45" s="1"/>
  <c r="K44"/>
  <c r="M44" s="1"/>
  <c r="K36"/>
  <c r="L36" s="1"/>
  <c r="L37" s="1"/>
  <c r="K30"/>
  <c r="L30" s="1"/>
  <c r="K27"/>
  <c r="N27" s="1"/>
  <c r="N28" s="1"/>
  <c r="K24"/>
  <c r="L24" s="1"/>
  <c r="L25" s="1"/>
  <c r="F115" i="4"/>
  <c r="I11" i="3"/>
  <c r="I14"/>
  <c r="I17"/>
  <c r="I20"/>
  <c r="I23"/>
  <c r="I26"/>
  <c r="I29"/>
  <c r="I32"/>
  <c r="I35"/>
  <c r="I38"/>
  <c r="I41"/>
  <c r="I44"/>
  <c r="I47"/>
  <c r="I50"/>
  <c r="I53"/>
  <c r="AF31" i="2"/>
  <c r="BQ95" i="1"/>
  <c r="BP95"/>
  <c r="BO95"/>
  <c r="BN95"/>
  <c r="BM95"/>
  <c r="BL95"/>
  <c r="BK95"/>
  <c r="BJ95"/>
  <c r="BI95"/>
  <c r="BH95"/>
  <c r="BH105"/>
  <c r="BG95"/>
  <c r="BE95"/>
  <c r="BB95"/>
  <c r="AY95"/>
  <c r="AX95"/>
  <c r="AW95"/>
  <c r="AV95"/>
  <c r="AT95"/>
  <c r="AS95"/>
  <c r="AR95"/>
  <c r="AQ95"/>
  <c r="AP95"/>
  <c r="AO95"/>
  <c r="BD95"/>
  <c r="AZ94"/>
  <c r="BR94" s="1"/>
  <c r="BR95" s="1"/>
  <c r="AD34" i="2" s="1"/>
  <c r="AZ93" i="1"/>
  <c r="BQ92"/>
  <c r="BP92"/>
  <c r="BO92"/>
  <c r="BN92"/>
  <c r="BM92"/>
  <c r="BL92"/>
  <c r="BK92"/>
  <c r="BJ92"/>
  <c r="BI92"/>
  <c r="BH92"/>
  <c r="BG92"/>
  <c r="BE92"/>
  <c r="BB92"/>
  <c r="BA92"/>
  <c r="AY92"/>
  <c r="AX92"/>
  <c r="AW92"/>
  <c r="AV92"/>
  <c r="AT92"/>
  <c r="AS92"/>
  <c r="AR92"/>
  <c r="AQ92"/>
  <c r="AO92"/>
  <c r="AZ90"/>
  <c r="BQ89"/>
  <c r="BP89"/>
  <c r="BO89"/>
  <c r="BN89"/>
  <c r="BM89"/>
  <c r="BL89"/>
  <c r="BK89"/>
  <c r="BJ89"/>
  <c r="BI89"/>
  <c r="BH89"/>
  <c r="BG89"/>
  <c r="BE89"/>
  <c r="BB89"/>
  <c r="BA89"/>
  <c r="AB31" i="2" s="1"/>
  <c r="AY89" i="1"/>
  <c r="AX89"/>
  <c r="AW89"/>
  <c r="AV89"/>
  <c r="AT89"/>
  <c r="AS89"/>
  <c r="AR89"/>
  <c r="AQ89"/>
  <c r="AP89"/>
  <c r="AO89"/>
  <c r="AZ88"/>
  <c r="BR88" s="1"/>
  <c r="BR89" s="1"/>
  <c r="AB34" i="2" s="1"/>
  <c r="AZ87" i="1"/>
  <c r="BQ86"/>
  <c r="BP86"/>
  <c r="BO86"/>
  <c r="BN86"/>
  <c r="BM86"/>
  <c r="BL86"/>
  <c r="BK86"/>
  <c r="BJ86"/>
  <c r="BI86"/>
  <c r="BH86"/>
  <c r="BG86"/>
  <c r="BE86"/>
  <c r="BB86"/>
  <c r="AY86"/>
  <c r="AX86"/>
  <c r="AW86"/>
  <c r="AV86"/>
  <c r="AT86"/>
  <c r="AS86"/>
  <c r="AR86"/>
  <c r="AQ86"/>
  <c r="AP86"/>
  <c r="AO86"/>
  <c r="AZ85"/>
  <c r="BR85" s="1"/>
  <c r="BR86" s="1"/>
  <c r="AA34" i="2" s="1"/>
  <c r="AZ84" i="1"/>
  <c r="BQ83"/>
  <c r="BP83"/>
  <c r="BO83"/>
  <c r="BN83"/>
  <c r="BM83"/>
  <c r="BL83"/>
  <c r="BK83"/>
  <c r="BJ83"/>
  <c r="BI83"/>
  <c r="BE83"/>
  <c r="BB83"/>
  <c r="AY83"/>
  <c r="AX83"/>
  <c r="AW83"/>
  <c r="AV83"/>
  <c r="AT83"/>
  <c r="AS83"/>
  <c r="AQ83"/>
  <c r="AP83"/>
  <c r="AO83"/>
  <c r="AZ81"/>
  <c r="AZ83"/>
  <c r="Z30" i="2" s="1"/>
  <c r="BQ80" i="1"/>
  <c r="BP80"/>
  <c r="BO80"/>
  <c r="BN80"/>
  <c r="BM80"/>
  <c r="BL80"/>
  <c r="BK80"/>
  <c r="BJ80"/>
  <c r="BI80"/>
  <c r="BH80"/>
  <c r="BG80"/>
  <c r="BE80"/>
  <c r="BB80"/>
  <c r="AY80"/>
  <c r="AX80"/>
  <c r="AW80"/>
  <c r="AV80"/>
  <c r="AT80"/>
  <c r="AS80"/>
  <c r="AR80"/>
  <c r="AQ80"/>
  <c r="AP80"/>
  <c r="AO80"/>
  <c r="AZ79"/>
  <c r="AZ80" s="1"/>
  <c r="Y30" i="2" s="1"/>
  <c r="AZ78" i="1"/>
  <c r="BQ77"/>
  <c r="BP77"/>
  <c r="BO77"/>
  <c r="BN77"/>
  <c r="BM77"/>
  <c r="BL77"/>
  <c r="BK77"/>
  <c r="BJ77"/>
  <c r="BI77"/>
  <c r="BH77"/>
  <c r="BG77"/>
  <c r="BE77"/>
  <c r="BB77"/>
  <c r="AY77"/>
  <c r="AX77"/>
  <c r="AW77"/>
  <c r="AV77"/>
  <c r="AT77"/>
  <c r="AS77"/>
  <c r="AR77"/>
  <c r="AQ77"/>
  <c r="AP77"/>
  <c r="AO77"/>
  <c r="BD77"/>
  <c r="AZ73"/>
  <c r="AZ74" s="1"/>
  <c r="W30" i="2" s="1"/>
  <c r="AZ72" i="1"/>
  <c r="AZ70"/>
  <c r="BR70" s="1"/>
  <c r="BR71" s="1"/>
  <c r="V34" i="2" s="1"/>
  <c r="AZ69" i="1"/>
  <c r="U32" i="2"/>
  <c r="AZ68" i="1"/>
  <c r="AZ60"/>
  <c r="AZ62"/>
  <c r="S30" i="2" s="1"/>
  <c r="R32"/>
  <c r="AZ57" i="1"/>
  <c r="AZ54"/>
  <c r="AZ52"/>
  <c r="AZ53" s="1"/>
  <c r="AZ48"/>
  <c r="AZ45"/>
  <c r="M31" i="2"/>
  <c r="BQ41" i="1"/>
  <c r="BP41"/>
  <c r="BO41"/>
  <c r="BN41"/>
  <c r="BM41"/>
  <c r="BL41"/>
  <c r="BK41"/>
  <c r="BJ41"/>
  <c r="BI41"/>
  <c r="BI106" s="1"/>
  <c r="BI107" s="1"/>
  <c r="BH41"/>
  <c r="BG41"/>
  <c r="BB41"/>
  <c r="BA41"/>
  <c r="L31" i="2" s="1"/>
  <c r="AY41" i="1"/>
  <c r="AX41"/>
  <c r="AW41"/>
  <c r="AV41"/>
  <c r="AT41"/>
  <c r="AS41"/>
  <c r="BD41"/>
  <c r="BQ38"/>
  <c r="BP38"/>
  <c r="BO38"/>
  <c r="BN38"/>
  <c r="BM38"/>
  <c r="BL38"/>
  <c r="BK38"/>
  <c r="BJ38"/>
  <c r="BI38"/>
  <c r="BH38"/>
  <c r="BG38"/>
  <c r="BE38"/>
  <c r="BB38"/>
  <c r="AY38"/>
  <c r="AX38"/>
  <c r="AW38"/>
  <c r="AV38"/>
  <c r="AT38"/>
  <c r="AS38"/>
  <c r="AR38"/>
  <c r="AP38"/>
  <c r="AO38"/>
  <c r="BD38"/>
  <c r="AZ36"/>
  <c r="BQ35"/>
  <c r="BP35"/>
  <c r="BO35"/>
  <c r="BN35"/>
  <c r="BM35"/>
  <c r="BL35"/>
  <c r="BL105" s="1"/>
  <c r="BK35"/>
  <c r="BJ35"/>
  <c r="BI35"/>
  <c r="BH35"/>
  <c r="BG35"/>
  <c r="BE35"/>
  <c r="BB35"/>
  <c r="AY35"/>
  <c r="AX35"/>
  <c r="AW35"/>
  <c r="AV35"/>
  <c r="AT35"/>
  <c r="AS35"/>
  <c r="AR35"/>
  <c r="AZ33"/>
  <c r="BR33"/>
  <c r="BQ32"/>
  <c r="BP32"/>
  <c r="BO32"/>
  <c r="BN32"/>
  <c r="BM32"/>
  <c r="BL32"/>
  <c r="BK32"/>
  <c r="BJ32"/>
  <c r="BI32"/>
  <c r="BH32"/>
  <c r="BG32"/>
  <c r="BE32"/>
  <c r="BB32"/>
  <c r="AY32"/>
  <c r="AX32"/>
  <c r="AW32"/>
  <c r="AV32"/>
  <c r="AT32"/>
  <c r="AS32"/>
  <c r="BD32"/>
  <c r="I33" i="2"/>
  <c r="AZ30" i="1"/>
  <c r="BQ29"/>
  <c r="BP29"/>
  <c r="BO29"/>
  <c r="BN29"/>
  <c r="BM29"/>
  <c r="BL29"/>
  <c r="BK29"/>
  <c r="BJ29"/>
  <c r="BJ106" s="1"/>
  <c r="BJ107" s="1"/>
  <c r="BI29"/>
  <c r="BH29"/>
  <c r="BG29"/>
  <c r="BE29"/>
  <c r="BB29"/>
  <c r="H32" i="2"/>
  <c r="AY29" i="1"/>
  <c r="AX29"/>
  <c r="AW29"/>
  <c r="AV29"/>
  <c r="AT29"/>
  <c r="AS29"/>
  <c r="AR29"/>
  <c r="AQ29"/>
  <c r="AP29"/>
  <c r="AZ27"/>
  <c r="BQ26"/>
  <c r="BP26"/>
  <c r="BO26"/>
  <c r="BN26"/>
  <c r="BM26"/>
  <c r="BL26"/>
  <c r="BK26"/>
  <c r="BJ26"/>
  <c r="BI26"/>
  <c r="BG26"/>
  <c r="BB26"/>
  <c r="BA26"/>
  <c r="AY26"/>
  <c r="AX26"/>
  <c r="AW26"/>
  <c r="AV26"/>
  <c r="AT26"/>
  <c r="AS26"/>
  <c r="AR26"/>
  <c r="AQ26"/>
  <c r="AO26"/>
  <c r="AZ24"/>
  <c r="BQ23"/>
  <c r="BP23"/>
  <c r="BO23"/>
  <c r="BN23"/>
  <c r="BM23"/>
  <c r="BL23"/>
  <c r="BK23"/>
  <c r="BJ23"/>
  <c r="BI23"/>
  <c r="BH23"/>
  <c r="BG23"/>
  <c r="BE23"/>
  <c r="BB23"/>
  <c r="AY23"/>
  <c r="AX23"/>
  <c r="AW23"/>
  <c r="AV23"/>
  <c r="AT23"/>
  <c r="AS23"/>
  <c r="AO23"/>
  <c r="AZ21"/>
  <c r="BR21"/>
  <c r="BQ20"/>
  <c r="BP20"/>
  <c r="BO20"/>
  <c r="BN20"/>
  <c r="BM20"/>
  <c r="BL20"/>
  <c r="BK20"/>
  <c r="BJ20"/>
  <c r="BI20"/>
  <c r="BH20"/>
  <c r="BE20"/>
  <c r="BB20"/>
  <c r="E32" i="2"/>
  <c r="AY20" i="1"/>
  <c r="AX20"/>
  <c r="AW20"/>
  <c r="AV20"/>
  <c r="AT20"/>
  <c r="AS20"/>
  <c r="AQ20"/>
  <c r="AP20"/>
  <c r="BD20"/>
  <c r="AZ18"/>
  <c r="BQ17"/>
  <c r="BP17"/>
  <c r="BO17"/>
  <c r="BN17"/>
  <c r="BM17"/>
  <c r="BL17"/>
  <c r="BK17"/>
  <c r="BJ17"/>
  <c r="BI17"/>
  <c r="BH17"/>
  <c r="BB17"/>
  <c r="BA17"/>
  <c r="AY17"/>
  <c r="AX17"/>
  <c r="AW17"/>
  <c r="AV17"/>
  <c r="AT17"/>
  <c r="AS17"/>
  <c r="AZ15"/>
  <c r="AZ17"/>
  <c r="D30" i="2" s="1"/>
  <c r="BQ14" i="1"/>
  <c r="BP14"/>
  <c r="BO14"/>
  <c r="BN14"/>
  <c r="BM14"/>
  <c r="BL14"/>
  <c r="BK14"/>
  <c r="BJ14"/>
  <c r="BI14"/>
  <c r="BG14"/>
  <c r="BE14"/>
  <c r="BE105"/>
  <c r="BB14"/>
  <c r="BA14"/>
  <c r="C31" i="2" s="1"/>
  <c r="AY14" i="1"/>
  <c r="AX14"/>
  <c r="AW14"/>
  <c r="AV14"/>
  <c r="AT14"/>
  <c r="AS14"/>
  <c r="AR14"/>
  <c r="AP14"/>
  <c r="BQ11"/>
  <c r="BP11"/>
  <c r="BO11"/>
  <c r="BN11"/>
  <c r="BM11"/>
  <c r="BL11"/>
  <c r="BK11"/>
  <c r="BJ11"/>
  <c r="BI11"/>
  <c r="BH11"/>
  <c r="BG11"/>
  <c r="BB11"/>
  <c r="BA11"/>
  <c r="B31" i="2" s="1"/>
  <c r="AY11" i="1"/>
  <c r="AY105"/>
  <c r="AX11"/>
  <c r="AW11"/>
  <c r="AV11"/>
  <c r="AT11"/>
  <c r="AS11"/>
  <c r="AR11"/>
  <c r="AP11"/>
  <c r="AJ89"/>
  <c r="AJ86"/>
  <c r="AJ35"/>
  <c r="AJ11"/>
  <c r="B26" i="2"/>
  <c r="AF21"/>
  <c r="AE19"/>
  <c r="Y95" i="1"/>
  <c r="AD17" i="2"/>
  <c r="AC20"/>
  <c r="AC19"/>
  <c r="Y92" i="1"/>
  <c r="AC17" i="2"/>
  <c r="AB22"/>
  <c r="AB21"/>
  <c r="AB18"/>
  <c r="Y89" i="1"/>
  <c r="AB17" i="2"/>
  <c r="AA21"/>
  <c r="AA19"/>
  <c r="Y86" i="1"/>
  <c r="AA17" i="2"/>
  <c r="Z22"/>
  <c r="Y83" i="1"/>
  <c r="Z17" i="2"/>
  <c r="Y19"/>
  <c r="Y80" i="1"/>
  <c r="Y17" i="2"/>
  <c r="X21"/>
  <c r="AA105" i="1"/>
  <c r="X18" i="2"/>
  <c r="Y77" i="1"/>
  <c r="X17" i="2"/>
  <c r="W20"/>
  <c r="W18"/>
  <c r="W17"/>
  <c r="V22"/>
  <c r="V21"/>
  <c r="V18"/>
  <c r="V17"/>
  <c r="T21"/>
  <c r="T19"/>
  <c r="T17"/>
  <c r="S17"/>
  <c r="R21"/>
  <c r="R17"/>
  <c r="Q19"/>
  <c r="P22"/>
  <c r="P17"/>
  <c r="O22"/>
  <c r="O18"/>
  <c r="O21"/>
  <c r="O19"/>
  <c r="N21"/>
  <c r="N19"/>
  <c r="M20"/>
  <c r="M18"/>
  <c r="Y41" i="1"/>
  <c r="L17" i="2"/>
  <c r="L21"/>
  <c r="L18"/>
  <c r="K22"/>
  <c r="Y38" i="1"/>
  <c r="K21" i="2"/>
  <c r="K18"/>
  <c r="J22"/>
  <c r="J20"/>
  <c r="J18"/>
  <c r="Y32" i="1"/>
  <c r="H20" i="2"/>
  <c r="Y29" i="1"/>
  <c r="H21" i="2"/>
  <c r="H19"/>
  <c r="Y26" i="1"/>
  <c r="Y23"/>
  <c r="F22" i="2"/>
  <c r="F21"/>
  <c r="F19"/>
  <c r="Y20" i="1"/>
  <c r="E17" i="2"/>
  <c r="E19"/>
  <c r="E18"/>
  <c r="D22"/>
  <c r="D19"/>
  <c r="Y17" i="1"/>
  <c r="D21" i="2"/>
  <c r="D18"/>
  <c r="Y14" i="1"/>
  <c r="C17" i="2"/>
  <c r="C22"/>
  <c r="C21"/>
  <c r="C18"/>
  <c r="Y11" i="1"/>
  <c r="I11"/>
  <c r="B7" i="2"/>
  <c r="J11" i="1"/>
  <c r="B8" i="2"/>
  <c r="L11" i="1"/>
  <c r="L92"/>
  <c r="I14"/>
  <c r="C7" i="2"/>
  <c r="J14" i="1"/>
  <c r="C8" i="2" s="1"/>
  <c r="L14" i="1"/>
  <c r="P14"/>
  <c r="I17"/>
  <c r="J17"/>
  <c r="D8" i="2"/>
  <c r="L17" i="1"/>
  <c r="P17"/>
  <c r="D12" i="2"/>
  <c r="I20" i="1"/>
  <c r="E7" i="2" s="1"/>
  <c r="J20" i="1"/>
  <c r="E8" i="2"/>
  <c r="L20" i="1"/>
  <c r="P20"/>
  <c r="I23"/>
  <c r="F7" i="2"/>
  <c r="J23" i="1"/>
  <c r="F8" i="2"/>
  <c r="L23" i="1"/>
  <c r="I26"/>
  <c r="G7" i="2"/>
  <c r="J26" i="1"/>
  <c r="G8" i="2"/>
  <c r="L26" i="1"/>
  <c r="I29"/>
  <c r="H7" i="2"/>
  <c r="J29" i="1"/>
  <c r="H8" i="2"/>
  <c r="L29" i="1"/>
  <c r="I32"/>
  <c r="I7" i="2"/>
  <c r="J32" i="1"/>
  <c r="I8" i="2"/>
  <c r="L32" i="1"/>
  <c r="J8" i="2"/>
  <c r="K8"/>
  <c r="L7"/>
  <c r="L8"/>
  <c r="M7"/>
  <c r="M8"/>
  <c r="N8"/>
  <c r="O7"/>
  <c r="O8"/>
  <c r="Q7"/>
  <c r="Q8"/>
  <c r="R7"/>
  <c r="R8"/>
  <c r="S7"/>
  <c r="S8"/>
  <c r="T7"/>
  <c r="U7"/>
  <c r="V7"/>
  <c r="V8"/>
  <c r="W7"/>
  <c r="W8"/>
  <c r="I77" i="1"/>
  <c r="X7" i="2"/>
  <c r="J77" i="1"/>
  <c r="X8" i="2"/>
  <c r="L77" i="1"/>
  <c r="Y7" i="2"/>
  <c r="J80" i="1"/>
  <c r="Y8" i="2"/>
  <c r="L80" i="1"/>
  <c r="I83"/>
  <c r="Z7" i="2"/>
  <c r="J83" i="1"/>
  <c r="Z8" i="2"/>
  <c r="L83" i="1"/>
  <c r="I86"/>
  <c r="AA7" i="2"/>
  <c r="J86" i="1"/>
  <c r="AA8" i="2"/>
  <c r="L86" i="1"/>
  <c r="I89"/>
  <c r="AB7" i="2"/>
  <c r="J89" i="1"/>
  <c r="L89"/>
  <c r="I92"/>
  <c r="AC7" i="2"/>
  <c r="J92" i="1"/>
  <c r="AC8" i="2"/>
  <c r="I95" i="1"/>
  <c r="AD7" i="2"/>
  <c r="J95" i="1"/>
  <c r="AD8" i="2"/>
  <c r="L95" i="1"/>
  <c r="AE8" i="2"/>
  <c r="AF7"/>
  <c r="AF8"/>
  <c r="Y3"/>
  <c r="W3"/>
  <c r="K3"/>
  <c r="H3"/>
  <c r="F3"/>
  <c r="AB8"/>
  <c r="P8"/>
  <c r="K7"/>
  <c r="J7"/>
  <c r="B2"/>
  <c r="C2"/>
  <c r="AF22"/>
  <c r="AF20"/>
  <c r="AF19"/>
  <c r="AF18"/>
  <c r="AF3"/>
  <c r="AF24"/>
  <c r="AE32"/>
  <c r="AE22"/>
  <c r="AE21"/>
  <c r="AE20"/>
  <c r="AE18"/>
  <c r="AE17"/>
  <c r="AE7"/>
  <c r="AD32"/>
  <c r="AD26"/>
  <c r="AD22"/>
  <c r="AD21"/>
  <c r="AD20"/>
  <c r="AD19"/>
  <c r="S95" i="1"/>
  <c r="R95"/>
  <c r="AI94"/>
  <c r="AH94"/>
  <c r="AH93"/>
  <c r="AH95" s="1"/>
  <c r="AD24" i="2" s="1"/>
  <c r="AG94" i="1"/>
  <c r="AG93"/>
  <c r="AG95" s="1"/>
  <c r="AD23" i="2" s="1"/>
  <c r="AI93" i="1"/>
  <c r="W95"/>
  <c r="AD16" i="2"/>
  <c r="P95" i="1"/>
  <c r="AD12" i="2"/>
  <c r="AC32"/>
  <c r="AC31"/>
  <c r="AC22"/>
  <c r="AC21"/>
  <c r="S92" i="1"/>
  <c r="R92"/>
  <c r="AI91"/>
  <c r="AH91"/>
  <c r="AG91"/>
  <c r="AG90"/>
  <c r="P92"/>
  <c r="AC12" i="2"/>
  <c r="AI90" i="1"/>
  <c r="AH90"/>
  <c r="AB32" i="2"/>
  <c r="AB26"/>
  <c r="AB20"/>
  <c r="AB19"/>
  <c r="S89" i="1"/>
  <c r="R89"/>
  <c r="AI88"/>
  <c r="AI87"/>
  <c r="AI89"/>
  <c r="AB25" i="2" s="1"/>
  <c r="AH88" i="1"/>
  <c r="AG88"/>
  <c r="AH87"/>
  <c r="AH89" s="1"/>
  <c r="AB24" i="2" s="1"/>
  <c r="AG87" i="1"/>
  <c r="W89"/>
  <c r="AB16" i="2"/>
  <c r="U89" i="1"/>
  <c r="AB14" i="2"/>
  <c r="H89" i="1"/>
  <c r="AB6" i="2" s="1"/>
  <c r="AA32"/>
  <c r="AA26"/>
  <c r="AA22"/>
  <c r="AA20"/>
  <c r="AA18"/>
  <c r="S86" i="1"/>
  <c r="R86"/>
  <c r="AI85"/>
  <c r="AH85"/>
  <c r="AG85"/>
  <c r="AG84"/>
  <c r="AI84"/>
  <c r="AI86" s="1"/>
  <c r="AA25" i="2" s="1"/>
  <c r="AH84" i="1"/>
  <c r="Z32" i="2"/>
  <c r="Z31"/>
  <c r="Z26"/>
  <c r="Z20"/>
  <c r="Z19"/>
  <c r="S83" i="1"/>
  <c r="R83"/>
  <c r="AI81"/>
  <c r="AI83" s="1"/>
  <c r="Z25" i="2" s="1"/>
  <c r="AH81" i="1"/>
  <c r="AH83" s="1"/>
  <c r="Z24" i="2" s="1"/>
  <c r="AG81" i="1"/>
  <c r="AG83" s="1"/>
  <c r="Z23" i="2" s="1"/>
  <c r="W83" i="1"/>
  <c r="Z16" i="2"/>
  <c r="T83" i="1"/>
  <c r="Z13" i="2"/>
  <c r="M83" i="1"/>
  <c r="Z9" i="2" s="1"/>
  <c r="H83" i="1"/>
  <c r="Z6" i="2" s="1"/>
  <c r="Y32"/>
  <c r="Y26"/>
  <c r="Y22"/>
  <c r="Y21"/>
  <c r="Y20"/>
  <c r="S80" i="1"/>
  <c r="R80"/>
  <c r="AI79"/>
  <c r="AI78"/>
  <c r="AI80" s="1"/>
  <c r="Y25" i="2" s="1"/>
  <c r="AH79" i="1"/>
  <c r="AG79"/>
  <c r="AG80" s="1"/>
  <c r="Y23" i="2" s="1"/>
  <c r="W79" i="1"/>
  <c r="U79"/>
  <c r="T79"/>
  <c r="V79"/>
  <c r="P79"/>
  <c r="H79"/>
  <c r="G79"/>
  <c r="AH78"/>
  <c r="AH80" s="1"/>
  <c r="Y24" i="2" s="1"/>
  <c r="AG78" i="1"/>
  <c r="W78"/>
  <c r="U78"/>
  <c r="T78"/>
  <c r="P78"/>
  <c r="P80"/>
  <c r="Y12" i="2"/>
  <c r="H78" i="1"/>
  <c r="G78"/>
  <c r="G80" s="1"/>
  <c r="Y5" i="2" s="1"/>
  <c r="X32"/>
  <c r="X22"/>
  <c r="X20"/>
  <c r="X19"/>
  <c r="S77" i="1"/>
  <c r="R77"/>
  <c r="W77"/>
  <c r="X16" i="2"/>
  <c r="U77" i="1"/>
  <c r="X14" i="2"/>
  <c r="T77" i="1"/>
  <c r="X13" i="2"/>
  <c r="N77" i="1"/>
  <c r="X10" i="2" s="1"/>
  <c r="W32"/>
  <c r="W26"/>
  <c r="W22"/>
  <c r="W19"/>
  <c r="AI73" i="1"/>
  <c r="AH73"/>
  <c r="AG73"/>
  <c r="AI72"/>
  <c r="AI74" s="1"/>
  <c r="W25" i="2" s="1"/>
  <c r="AH72" i="1"/>
  <c r="AH74" s="1"/>
  <c r="W24" i="2" s="1"/>
  <c r="AG72" i="1"/>
  <c r="W16" i="2"/>
  <c r="W14"/>
  <c r="W13"/>
  <c r="V32"/>
  <c r="V26"/>
  <c r="V20"/>
  <c r="V19"/>
  <c r="AI70" i="1"/>
  <c r="AH70"/>
  <c r="AG70"/>
  <c r="V13" i="2"/>
  <c r="AI69" i="1"/>
  <c r="AI71"/>
  <c r="V25" i="2" s="1"/>
  <c r="AH69" i="1"/>
  <c r="AG69"/>
  <c r="AG71" s="1"/>
  <c r="V23" i="2" s="1"/>
  <c r="V16"/>
  <c r="V12"/>
  <c r="U26"/>
  <c r="U22"/>
  <c r="U21"/>
  <c r="U20"/>
  <c r="U19"/>
  <c r="U16"/>
  <c r="U14"/>
  <c r="T32"/>
  <c r="T26"/>
  <c r="T22"/>
  <c r="T20"/>
  <c r="AH64" i="1"/>
  <c r="AH63"/>
  <c r="AG64"/>
  <c r="AG63"/>
  <c r="T14" i="2"/>
  <c r="T13"/>
  <c r="S32"/>
  <c r="S26"/>
  <c r="S22"/>
  <c r="S21"/>
  <c r="S20"/>
  <c r="S19"/>
  <c r="AH60" i="1"/>
  <c r="AH62" s="1"/>
  <c r="S24" i="2" s="1"/>
  <c r="AG60" i="1"/>
  <c r="AG62" s="1"/>
  <c r="S23" i="2" s="1"/>
  <c r="R26"/>
  <c r="R22"/>
  <c r="R20"/>
  <c r="R19"/>
  <c r="R18"/>
  <c r="AI58" i="1"/>
  <c r="AH58"/>
  <c r="AG58"/>
  <c r="AG57"/>
  <c r="W58"/>
  <c r="U58"/>
  <c r="T58"/>
  <c r="P58"/>
  <c r="H58"/>
  <c r="AI57"/>
  <c r="AI59"/>
  <c r="R25" i="2" s="1"/>
  <c r="AH57" i="1"/>
  <c r="AH59" s="1"/>
  <c r="R24" i="2" s="1"/>
  <c r="W57" i="1"/>
  <c r="W59"/>
  <c r="R16" i="2"/>
  <c r="U57" i="1"/>
  <c r="U59"/>
  <c r="T57"/>
  <c r="P57"/>
  <c r="P59"/>
  <c r="R12" i="2"/>
  <c r="H57" i="1"/>
  <c r="Q32" i="2"/>
  <c r="Q22"/>
  <c r="Q21"/>
  <c r="Q20"/>
  <c r="Q18"/>
  <c r="Q17"/>
  <c r="AH55" i="1"/>
  <c r="AG55"/>
  <c r="AG54"/>
  <c r="AG56"/>
  <c r="Q23" i="2" s="1"/>
  <c r="AI54" i="1"/>
  <c r="AI56" s="1"/>
  <c r="Q25" i="2" s="1"/>
  <c r="AH54" i="1"/>
  <c r="Q14" i="2"/>
  <c r="Q13"/>
  <c r="P32"/>
  <c r="P31"/>
  <c r="P26"/>
  <c r="P21"/>
  <c r="P20"/>
  <c r="P19"/>
  <c r="AH52" i="1"/>
  <c r="AG52"/>
  <c r="AH51"/>
  <c r="P14" i="2"/>
  <c r="P12"/>
  <c r="O32"/>
  <c r="O26"/>
  <c r="O20"/>
  <c r="O17"/>
  <c r="AH49" i="1"/>
  <c r="AG49"/>
  <c r="AH48"/>
  <c r="AH50" s="1"/>
  <c r="O24" i="2" s="1"/>
  <c r="AG48" i="1"/>
  <c r="O14" i="2"/>
  <c r="O12"/>
  <c r="N32"/>
  <c r="N31"/>
  <c r="N22"/>
  <c r="N20"/>
  <c r="N17"/>
  <c r="AH46" i="1"/>
  <c r="AH47"/>
  <c r="N24" i="2" s="1"/>
  <c r="AG46" i="1"/>
  <c r="AG47" s="1"/>
  <c r="N23" i="2" s="1"/>
  <c r="N16"/>
  <c r="N14"/>
  <c r="M32"/>
  <c r="M26"/>
  <c r="M22"/>
  <c r="M19"/>
  <c r="M17"/>
  <c r="M16"/>
  <c r="M14"/>
  <c r="M12"/>
  <c r="L32"/>
  <c r="L26"/>
  <c r="L22"/>
  <c r="L20"/>
  <c r="L19"/>
  <c r="S41" i="1"/>
  <c r="R41"/>
  <c r="AH40"/>
  <c r="AG40"/>
  <c r="AH39"/>
  <c r="AH41" s="1"/>
  <c r="L24" i="2" s="1"/>
  <c r="AG39" i="1"/>
  <c r="W41"/>
  <c r="L16" i="2"/>
  <c r="U41" i="1"/>
  <c r="L14" i="2"/>
  <c r="P41" i="1"/>
  <c r="L12" i="2"/>
  <c r="K32"/>
  <c r="K26"/>
  <c r="K20"/>
  <c r="K19"/>
  <c r="K17"/>
  <c r="S38" i="1"/>
  <c r="R38"/>
  <c r="AH37"/>
  <c r="AG37"/>
  <c r="W37"/>
  <c r="U37"/>
  <c r="T37"/>
  <c r="P37"/>
  <c r="H37"/>
  <c r="G37"/>
  <c r="AH36"/>
  <c r="AG36"/>
  <c r="AG38" s="1"/>
  <c r="K23" i="2" s="1"/>
  <c r="W36" i="1"/>
  <c r="U36"/>
  <c r="T36"/>
  <c r="P36"/>
  <c r="H36"/>
  <c r="H38" s="1"/>
  <c r="K6" i="2" s="1"/>
  <c r="G36" i="1"/>
  <c r="G38" s="1"/>
  <c r="K5" i="2" s="1"/>
  <c r="J32"/>
  <c r="J21"/>
  <c r="J19"/>
  <c r="J17"/>
  <c r="AH34" i="1"/>
  <c r="AG34"/>
  <c r="AH33"/>
  <c r="AH35" s="1"/>
  <c r="J24" i="2" s="1"/>
  <c r="AG33" i="1"/>
  <c r="AG35" s="1"/>
  <c r="J23" i="2" s="1"/>
  <c r="W35" i="1"/>
  <c r="J16" i="2"/>
  <c r="U35" i="1"/>
  <c r="J14" i="2"/>
  <c r="T35" i="1"/>
  <c r="P35"/>
  <c r="J12" i="2"/>
  <c r="N35" i="1"/>
  <c r="I32" i="2"/>
  <c r="I26"/>
  <c r="I22"/>
  <c r="I20"/>
  <c r="I19"/>
  <c r="I17"/>
  <c r="S32" i="1"/>
  <c r="R32"/>
  <c r="P32"/>
  <c r="I12" i="2"/>
  <c r="H31"/>
  <c r="H26"/>
  <c r="H22"/>
  <c r="H17"/>
  <c r="S29" i="1"/>
  <c r="R29"/>
  <c r="AH28"/>
  <c r="AG28"/>
  <c r="AH27"/>
  <c r="AH29" s="1"/>
  <c r="H24" i="2" s="1"/>
  <c r="AG27" i="1"/>
  <c r="W29"/>
  <c r="H16" i="2"/>
  <c r="G29" i="1"/>
  <c r="H5" i="2" s="1"/>
  <c r="G32"/>
  <c r="G31"/>
  <c r="G26"/>
  <c r="G22"/>
  <c r="G20"/>
  <c r="G19"/>
  <c r="G17"/>
  <c r="S26" i="1"/>
  <c r="R26"/>
  <c r="AH25"/>
  <c r="AG25"/>
  <c r="AH24"/>
  <c r="AH26" s="1"/>
  <c r="G24" i="2" s="1"/>
  <c r="AG24" i="1"/>
  <c r="AG26" s="1"/>
  <c r="G23" i="2" s="1"/>
  <c r="T26" i="1"/>
  <c r="G13" i="2"/>
  <c r="F32"/>
  <c r="F26"/>
  <c r="F17"/>
  <c r="S23" i="1"/>
  <c r="R23"/>
  <c r="AH22"/>
  <c r="AG22"/>
  <c r="P23"/>
  <c r="F12" i="2"/>
  <c r="AH21" i="1"/>
  <c r="AH23" s="1"/>
  <c r="AG21"/>
  <c r="AG23" s="1"/>
  <c r="F23" i="2" s="1"/>
  <c r="W23" i="1"/>
  <c r="F16" i="2"/>
  <c r="U23" i="1"/>
  <c r="F14" i="2"/>
  <c r="E31"/>
  <c r="E26"/>
  <c r="E22"/>
  <c r="E20"/>
  <c r="S20" i="1"/>
  <c r="R20"/>
  <c r="AH19"/>
  <c r="AH18"/>
  <c r="AH20" s="1"/>
  <c r="E24" i="2" s="1"/>
  <c r="AG19" i="1"/>
  <c r="W20"/>
  <c r="E16" i="2"/>
  <c r="AG18" i="1"/>
  <c r="AG20" s="1"/>
  <c r="E23" i="2" s="1"/>
  <c r="U20" i="1"/>
  <c r="E14" i="2"/>
  <c r="D32"/>
  <c r="D26"/>
  <c r="D20"/>
  <c r="D17"/>
  <c r="S17" i="1"/>
  <c r="R17"/>
  <c r="AI16"/>
  <c r="AH16"/>
  <c r="AH15"/>
  <c r="AH17"/>
  <c r="D24" i="2" s="1"/>
  <c r="AG16" i="1"/>
  <c r="H15"/>
  <c r="H17" s="1"/>
  <c r="D6" i="2" s="1"/>
  <c r="AI15" i="1"/>
  <c r="AG15"/>
  <c r="W15"/>
  <c r="W17"/>
  <c r="D16" i="2"/>
  <c r="U15" i="1"/>
  <c r="T15"/>
  <c r="T17"/>
  <c r="D13" i="2"/>
  <c r="G15" i="1"/>
  <c r="G17" s="1"/>
  <c r="D5" i="2" s="1"/>
  <c r="C32"/>
  <c r="C26"/>
  <c r="C20"/>
  <c r="C19"/>
  <c r="S14" i="1"/>
  <c r="R14"/>
  <c r="AH13"/>
  <c r="AG13"/>
  <c r="AI12"/>
  <c r="AI14" s="1"/>
  <c r="AH12"/>
  <c r="AH14"/>
  <c r="C24" i="2" s="1"/>
  <c r="AG12" i="1"/>
  <c r="AG14" s="1"/>
  <c r="U14"/>
  <c r="T14"/>
  <c r="C13" i="2"/>
  <c r="B32"/>
  <c r="B22"/>
  <c r="B20"/>
  <c r="S11" i="1"/>
  <c r="R11"/>
  <c r="AH10"/>
  <c r="AG10"/>
  <c r="W10"/>
  <c r="U10"/>
  <c r="T10"/>
  <c r="H10"/>
  <c r="G10"/>
  <c r="AI9"/>
  <c r="AI11"/>
  <c r="B25" i="2" s="1"/>
  <c r="AH9" i="1"/>
  <c r="AG9"/>
  <c r="AG11" s="1"/>
  <c r="B23" i="2" s="1"/>
  <c r="W9" i="1"/>
  <c r="W11"/>
  <c r="U9"/>
  <c r="T9"/>
  <c r="T11"/>
  <c r="B13" i="2"/>
  <c r="P9" i="1"/>
  <c r="P11"/>
  <c r="B12" i="2"/>
  <c r="N9" i="1"/>
  <c r="N11" s="1"/>
  <c r="B10" i="2" s="1"/>
  <c r="M9" i="1"/>
  <c r="M11"/>
  <c r="B9" i="2" s="1"/>
  <c r="H9" i="1"/>
  <c r="G9"/>
  <c r="G11" s="1"/>
  <c r="B5" i="2" s="1"/>
  <c r="B17"/>
  <c r="T89" i="1"/>
  <c r="AB13" i="2"/>
  <c r="T95" i="1"/>
  <c r="AD13" i="2"/>
  <c r="AE13"/>
  <c r="T41" i="1"/>
  <c r="L13" i="2"/>
  <c r="P13"/>
  <c r="Q16"/>
  <c r="S14"/>
  <c r="U12"/>
  <c r="W12"/>
  <c r="P77" i="1"/>
  <c r="X12" i="2"/>
  <c r="U86" i="1"/>
  <c r="AA14" i="2"/>
  <c r="U92" i="1"/>
  <c r="AC14" i="2"/>
  <c r="P26" i="1"/>
  <c r="G12" i="2"/>
  <c r="U26" i="1"/>
  <c r="G14" i="2"/>
  <c r="P29" i="1"/>
  <c r="H12" i="2"/>
  <c r="U29" i="1"/>
  <c r="H14" i="2"/>
  <c r="N12"/>
  <c r="BR15" i="1"/>
  <c r="V20"/>
  <c r="E15" i="2"/>
  <c r="BR27" i="1"/>
  <c r="BR39"/>
  <c r="BR51"/>
  <c r="U15" i="2"/>
  <c r="V86" i="1"/>
  <c r="AA15" i="2"/>
  <c r="V89" i="1"/>
  <c r="AB15" i="2"/>
  <c r="BR90" i="1"/>
  <c r="BR81"/>
  <c r="BR93"/>
  <c r="BR45"/>
  <c r="BR78"/>
  <c r="BR54"/>
  <c r="BR9"/>
  <c r="Z21" i="2"/>
  <c r="W21"/>
  <c r="B19"/>
  <c r="D29" i="3"/>
  <c r="E29"/>
  <c r="F23"/>
  <c r="M21" i="2"/>
  <c r="N18"/>
  <c r="T18"/>
  <c r="T23" i="1"/>
  <c r="F13" i="2"/>
  <c r="J13"/>
  <c r="V35" i="1"/>
  <c r="J15" i="2"/>
  <c r="V14"/>
  <c r="V15"/>
  <c r="E21"/>
  <c r="F18"/>
  <c r="G18"/>
  <c r="I21"/>
  <c r="V78" i="1"/>
  <c r="V80"/>
  <c r="Y15" i="2"/>
  <c r="AE12"/>
  <c r="O16"/>
  <c r="F20"/>
  <c r="H18"/>
  <c r="I18"/>
  <c r="P18"/>
  <c r="S18"/>
  <c r="U18"/>
  <c r="BD26" i="1"/>
  <c r="M13" i="2"/>
  <c r="J26"/>
  <c r="F31"/>
  <c r="F45" i="3"/>
  <c r="V57" i="1"/>
  <c r="V92"/>
  <c r="AC15" i="2"/>
  <c r="BR30" i="1"/>
  <c r="B21" i="2"/>
  <c r="P89" i="1"/>
  <c r="AB12" i="2"/>
  <c r="M32" i="3"/>
  <c r="E41"/>
  <c r="BH106" i="1"/>
  <c r="BH107"/>
  <c r="T38"/>
  <c r="K13" i="2"/>
  <c r="O13"/>
  <c r="T92" i="1"/>
  <c r="AC13" i="2"/>
  <c r="AH92" i="1"/>
  <c r="AC24" i="2" s="1"/>
  <c r="AZ20" i="1"/>
  <c r="E30" i="2" s="1"/>
  <c r="BD83" i="1"/>
  <c r="Z33" i="2"/>
  <c r="L44" i="3"/>
  <c r="F35"/>
  <c r="BD17" i="1"/>
  <c r="D33" i="2"/>
  <c r="U33"/>
  <c r="V33"/>
  <c r="L41" i="3"/>
  <c r="D14"/>
  <c r="L27"/>
  <c r="P86" i="1"/>
  <c r="AA12" i="2"/>
  <c r="Q12"/>
  <c r="P83" i="1"/>
  <c r="Z12" i="2"/>
  <c r="Y18"/>
  <c r="AC18"/>
  <c r="AD18"/>
  <c r="T29" i="1"/>
  <c r="H13" i="2"/>
  <c r="V58" i="1"/>
  <c r="T12" i="2"/>
  <c r="U80" i="1"/>
  <c r="Y14" i="2"/>
  <c r="W92" i="1"/>
  <c r="AC16" i="2"/>
  <c r="U95" i="1"/>
  <c r="AD14" i="2"/>
  <c r="BK106" i="1"/>
  <c r="BK107"/>
  <c r="BD23"/>
  <c r="F33" i="2"/>
  <c r="BD35" i="1"/>
  <c r="J33" i="2"/>
  <c r="BD92" i="1"/>
  <c r="AC33" i="2"/>
  <c r="L45" i="3"/>
  <c r="N36"/>
  <c r="N32"/>
  <c r="M33" i="2"/>
  <c r="BD29" i="1"/>
  <c r="H33" i="2" s="1"/>
  <c r="BR16" i="1"/>
  <c r="BR63"/>
  <c r="BR69"/>
  <c r="BR72"/>
  <c r="BR87"/>
  <c r="BR18"/>
  <c r="F27" i="2"/>
  <c r="M29" i="3"/>
  <c r="AB105" i="1"/>
  <c r="AE105"/>
  <c r="AA33" i="2"/>
  <c r="BR84" i="1"/>
  <c r="AF105"/>
  <c r="G10" i="4" s="1"/>
  <c r="T15" i="2"/>
  <c r="V9" i="1"/>
  <c r="Q15" i="2"/>
  <c r="V26" i="1"/>
  <c r="G15" i="2"/>
  <c r="V15" i="1"/>
  <c r="V41"/>
  <c r="L15" i="2"/>
  <c r="U11" i="1"/>
  <c r="B14" i="2"/>
  <c r="U17" i="1"/>
  <c r="D14" i="2"/>
  <c r="N29" i="1"/>
  <c r="H10" i="2" s="1"/>
  <c r="T32" i="1"/>
  <c r="I13" i="2"/>
  <c r="W32" i="1"/>
  <c r="I16" i="2"/>
  <c r="N15"/>
  <c r="P15"/>
  <c r="P16"/>
  <c r="R14"/>
  <c r="T86" i="1"/>
  <c r="AA13" i="2"/>
  <c r="W86" i="1"/>
  <c r="AA16" i="2"/>
  <c r="V95" i="1"/>
  <c r="AD15" i="2"/>
  <c r="BR75" i="1"/>
  <c r="V77"/>
  <c r="X15" i="2"/>
  <c r="O15"/>
  <c r="AH86" i="1"/>
  <c r="AA24" i="2" s="1"/>
  <c r="BE106" i="1"/>
  <c r="BE107" s="1"/>
  <c r="AX105"/>
  <c r="AX107"/>
  <c r="AX108"/>
  <c r="M53" i="3"/>
  <c r="X33" i="2"/>
  <c r="M41" i="1"/>
  <c r="L9" i="2" s="1"/>
  <c r="D24" i="3"/>
  <c r="D25" s="1"/>
  <c r="N33" i="2"/>
  <c r="BR58" i="1"/>
  <c r="BD80"/>
  <c r="BR79"/>
  <c r="BR80" s="1"/>
  <c r="Y34" i="2" s="1"/>
  <c r="N14" i="3"/>
  <c r="D39"/>
  <c r="AZ89" i="1"/>
  <c r="AB30" i="2" s="1"/>
  <c r="F26" i="3"/>
  <c r="F28" i="2"/>
  <c r="E32" i="3"/>
  <c r="D23"/>
  <c r="Y33" i="2"/>
  <c r="N30" i="3"/>
  <c r="N31" s="1"/>
  <c r="N24"/>
  <c r="M24"/>
  <c r="C52"/>
  <c r="M27"/>
  <c r="E36"/>
  <c r="D31" i="2"/>
  <c r="T33"/>
  <c r="AZ77" i="1"/>
  <c r="X30" i="2" s="1"/>
  <c r="AZ41" i="1"/>
  <c r="L30" i="2" s="1"/>
  <c r="N18" i="3"/>
  <c r="L17"/>
  <c r="D32"/>
  <c r="O36" i="1"/>
  <c r="M32"/>
  <c r="I9" i="2" s="1"/>
  <c r="K16" i="3"/>
  <c r="N33"/>
  <c r="N34" s="1"/>
  <c r="AZ98" i="1"/>
  <c r="AE30" i="2" s="1"/>
  <c r="AG103" i="1"/>
  <c r="AI103"/>
  <c r="AK103"/>
  <c r="AV105"/>
  <c r="AV107"/>
  <c r="AV108"/>
  <c r="BB105"/>
  <c r="AF23" i="2"/>
  <c r="AF13"/>
  <c r="AF33"/>
  <c r="AF16"/>
  <c r="BP105" i="1"/>
  <c r="BN109"/>
  <c r="BN110"/>
  <c r="L53" i="3"/>
  <c r="AF27" i="2"/>
  <c r="AF14"/>
  <c r="AF10"/>
  <c r="AE15"/>
  <c r="L47" i="3"/>
  <c r="D7" i="2"/>
  <c r="Q33"/>
  <c r="D11" i="3"/>
  <c r="H29" i="1"/>
  <c r="H6" i="2" s="1"/>
  <c r="C14"/>
  <c r="R33"/>
  <c r="BP109" i="1"/>
  <c r="BP110"/>
  <c r="AU105"/>
  <c r="AU107"/>
  <c r="AU108"/>
  <c r="AT105"/>
  <c r="AT107"/>
  <c r="AT108"/>
  <c r="AW105"/>
  <c r="AW107"/>
  <c r="AW108"/>
  <c r="BN105"/>
  <c r="O78"/>
  <c r="AF30" i="2"/>
  <c r="AK83" i="1"/>
  <c r="Z27" i="2" s="1"/>
  <c r="AZ92" i="1"/>
  <c r="AC30" i="2" s="1"/>
  <c r="N39" i="3"/>
  <c r="K19"/>
  <c r="L18"/>
  <c r="BR43" i="1"/>
  <c r="BR44" s="1"/>
  <c r="M34" i="2" s="1"/>
  <c r="U30"/>
  <c r="W14" i="1"/>
  <c r="C16" i="2"/>
  <c r="T20" i="1"/>
  <c r="E13" i="2"/>
  <c r="V23" i="1"/>
  <c r="F15" i="2"/>
  <c r="W26" i="1"/>
  <c r="G16" i="2"/>
  <c r="U32" i="1"/>
  <c r="I14" i="2"/>
  <c r="V32" i="1"/>
  <c r="I15" i="2"/>
  <c r="P38" i="1"/>
  <c r="K12" i="2"/>
  <c r="V36" i="1"/>
  <c r="U83"/>
  <c r="Z14" i="2"/>
  <c r="V83" i="1"/>
  <c r="Z15" i="2"/>
  <c r="W15"/>
  <c r="BC11" i="1"/>
  <c r="V14"/>
  <c r="C15" i="2"/>
  <c r="K46" i="3"/>
  <c r="G77" i="1"/>
  <c r="X5" i="2" s="1"/>
  <c r="AL34" i="1"/>
  <c r="AM34" s="1"/>
  <c r="G86"/>
  <c r="AA5" i="2" s="1"/>
  <c r="G98" i="1"/>
  <c r="AE5" i="2" s="1"/>
  <c r="V29" i="1"/>
  <c r="H15" i="2"/>
  <c r="AC105" i="1"/>
  <c r="J10" i="2"/>
  <c r="AC9"/>
  <c r="E17" i="3"/>
  <c r="C12" i="2"/>
  <c r="M35" i="1"/>
  <c r="J9" i="2" s="1"/>
  <c r="O19" i="1"/>
  <c r="L15" i="3"/>
  <c r="O60" i="1"/>
  <c r="R5" i="2"/>
  <c r="O94" i="1"/>
  <c r="C19" i="3"/>
  <c r="AI50" i="1"/>
  <c r="O25" i="2" s="1"/>
  <c r="M50" i="1"/>
  <c r="O9" i="2" s="1"/>
  <c r="J105" i="1"/>
  <c r="S105"/>
  <c r="BQ105"/>
  <c r="I105"/>
  <c r="AJ105"/>
  <c r="AL108"/>
  <c r="E12" i="2"/>
  <c r="M71" i="1"/>
  <c r="V9" i="2" s="1"/>
  <c r="AI62" i="1"/>
  <c r="S25" i="2" s="1"/>
  <c r="O72" i="1"/>
  <c r="G103"/>
  <c r="O96"/>
  <c r="AZ32"/>
  <c r="I30" i="2" s="1"/>
  <c r="AK17" i="1"/>
  <c r="D27" i="2" s="1"/>
  <c r="AK11" i="1"/>
  <c r="B27" i="2" s="1"/>
  <c r="AI47" i="1"/>
  <c r="N25" i="2" s="1"/>
  <c r="M47" i="1"/>
  <c r="N9" i="2" s="1"/>
  <c r="V31"/>
  <c r="W31"/>
  <c r="H92" i="1"/>
  <c r="AC6" i="2" s="1"/>
  <c r="G90" i="1"/>
  <c r="G92" s="1"/>
  <c r="AC5" i="2" s="1"/>
  <c r="V10" i="1"/>
  <c r="V11"/>
  <c r="U38"/>
  <c r="K14" i="2"/>
  <c r="V37" i="1"/>
  <c r="V38"/>
  <c r="K15" i="2"/>
  <c r="AH56" i="1"/>
  <c r="Q24" i="2" s="1"/>
  <c r="AG59" i="1"/>
  <c r="R23" i="2" s="1"/>
  <c r="AG65" i="1"/>
  <c r="T23" i="2" s="1"/>
  <c r="AH65" i="1"/>
  <c r="T24" i="2" s="1"/>
  <c r="BR24" i="1"/>
  <c r="AZ26"/>
  <c r="G30" i="2"/>
  <c r="AB33"/>
  <c r="BR99" i="1"/>
  <c r="M62"/>
  <c r="S9" i="2" s="1"/>
  <c r="O63" i="1"/>
  <c r="O82"/>
  <c r="AG92"/>
  <c r="AC23" i="2" s="1"/>
  <c r="AS105" i="1"/>
  <c r="AS107" s="1"/>
  <c r="AS108" s="1"/>
  <c r="K33" i="2"/>
  <c r="BR60" i="1"/>
  <c r="BJ109"/>
  <c r="BJ110" s="1"/>
  <c r="BF106"/>
  <c r="V100"/>
  <c r="O99"/>
  <c r="V59"/>
  <c r="R15" i="2"/>
  <c r="BR48" i="1"/>
  <c r="BR57"/>
  <c r="BR59"/>
  <c r="R34" i="2" s="1"/>
  <c r="T59" i="1"/>
  <c r="S33" i="2"/>
  <c r="BM109" i="1"/>
  <c r="BM110" s="1"/>
  <c r="BQ109"/>
  <c r="BQ110"/>
  <c r="R13" i="2"/>
  <c r="BR10" i="1"/>
  <c r="BR11" s="1"/>
  <c r="B34" i="2" s="1"/>
  <c r="K40" i="3"/>
  <c r="L39"/>
  <c r="E42"/>
  <c r="E43" s="1"/>
  <c r="M14" i="1"/>
  <c r="C9" i="2" s="1"/>
  <c r="M44" i="1"/>
  <c r="M9" i="2" s="1"/>
  <c r="AZ47" i="1"/>
  <c r="N30" i="2" s="1"/>
  <c r="R31"/>
  <c r="AZ103" i="1"/>
  <c r="M80"/>
  <c r="Y9" i="2" s="1"/>
  <c r="T31"/>
  <c r="M29" i="1"/>
  <c r="H9" i="2" s="1"/>
  <c r="H11" i="1"/>
  <c r="B6" i="2" s="1"/>
  <c r="AA31"/>
  <c r="M36" i="3"/>
  <c r="O40" i="1"/>
  <c r="D48" i="3"/>
  <c r="E48"/>
  <c r="Q31" i="2"/>
  <c r="M26" i="3"/>
  <c r="L26"/>
  <c r="K28"/>
  <c r="O66" i="1"/>
  <c r="Y105"/>
  <c r="BI105"/>
  <c r="R105"/>
  <c r="W38"/>
  <c r="BJ105"/>
  <c r="BM105"/>
  <c r="BO105"/>
  <c r="AZ11"/>
  <c r="B30" i="2" s="1"/>
  <c r="O100" i="1"/>
  <c r="V99"/>
  <c r="O46"/>
  <c r="O73"/>
  <c r="O27"/>
  <c r="O91"/>
  <c r="O67"/>
  <c r="BR36"/>
  <c r="BO109"/>
  <c r="BO110"/>
  <c r="AD33" i="2"/>
  <c r="BR25" i="1"/>
  <c r="BR26" s="1"/>
  <c r="G34" i="2" s="1"/>
  <c r="BD11" i="1"/>
  <c r="B33" i="2" s="1"/>
  <c r="BF109" i="1"/>
  <c r="BF110"/>
  <c r="BF107"/>
  <c r="AI92"/>
  <c r="AC25" i="2" s="1"/>
  <c r="L105" i="1"/>
  <c r="BK105"/>
  <c r="BI109"/>
  <c r="BI110" s="1"/>
  <c r="BE109"/>
  <c r="BE110"/>
  <c r="K16" i="2"/>
  <c r="N68" i="1"/>
  <c r="U10" i="2" s="1"/>
  <c r="C10" i="3"/>
  <c r="AZ29" i="1"/>
  <c r="H30" i="2" s="1"/>
  <c r="AK65" i="1"/>
  <c r="T27" i="2" s="1"/>
  <c r="N20" i="3"/>
  <c r="AK98" i="1"/>
  <c r="AE27" i="2" s="1"/>
  <c r="A71" i="4"/>
  <c r="AH11" i="1"/>
  <c r="B24" i="2" s="1"/>
  <c r="O9" i="1"/>
  <c r="AK20"/>
  <c r="E27" i="2" s="1"/>
  <c r="N20" i="1"/>
  <c r="E10" i="2"/>
  <c r="M20" i="1"/>
  <c r="E9" i="2"/>
  <c r="AZ38" i="1"/>
  <c r="K30" i="2" s="1"/>
  <c r="AI35" i="1"/>
  <c r="J25" i="2" s="1"/>
  <c r="N44" i="1"/>
  <c r="M10" i="2" s="1"/>
  <c r="M77" i="1"/>
  <c r="X9" i="2" s="1"/>
  <c r="N50" i="3"/>
  <c r="G33" i="2"/>
  <c r="AZ23" i="1"/>
  <c r="F30" i="2" s="1"/>
  <c r="M23" i="1"/>
  <c r="F9" i="2" s="1"/>
  <c r="AI68" i="1"/>
  <c r="U25" i="2" s="1"/>
  <c r="M65" i="1"/>
  <c r="T9" i="2" s="1"/>
  <c r="AK59" i="1"/>
  <c r="R27" i="2" s="1"/>
  <c r="N53" i="1"/>
  <c r="P10" i="2" s="1"/>
  <c r="B15"/>
  <c r="AG41" i="1"/>
  <c r="L23" i="2" s="1"/>
  <c r="AH71" i="1"/>
  <c r="V24" i="2" s="1"/>
  <c r="T80" i="1"/>
  <c r="W80"/>
  <c r="Y16" i="2"/>
  <c r="AG86" i="1"/>
  <c r="AA23" i="2" s="1"/>
  <c r="L33"/>
  <c r="E33"/>
  <c r="P33"/>
  <c r="O45" i="1"/>
  <c r="V61"/>
  <c r="V62"/>
  <c r="S15" i="2"/>
  <c r="T62" i="1"/>
  <c r="S13" i="2"/>
  <c r="O102" i="1"/>
  <c r="AF11" i="2"/>
  <c r="V102" i="1"/>
  <c r="U103"/>
  <c r="U105"/>
  <c r="AG98"/>
  <c r="AE23" i="2" s="1"/>
  <c r="V16" i="1"/>
  <c r="V17"/>
  <c r="D15" i="2"/>
  <c r="AG44" i="1"/>
  <c r="M23" i="2" s="1"/>
  <c r="O33" i="1"/>
  <c r="O48"/>
  <c r="O84"/>
  <c r="M98"/>
  <c r="AE9" i="2" s="1"/>
  <c r="N83" i="1"/>
  <c r="Z10" i="2" s="1"/>
  <c r="B16"/>
  <c r="W105" i="1"/>
  <c r="Y13" i="2"/>
  <c r="T105" i="1"/>
  <c r="O33" i="2"/>
  <c r="O20" i="1"/>
  <c r="E11" i="2" s="1"/>
  <c r="M89" i="1"/>
  <c r="AB9" i="2" s="1"/>
  <c r="AZ86" i="1"/>
  <c r="AA30" i="2" s="1"/>
  <c r="F27" i="3"/>
  <c r="E27"/>
  <c r="D26"/>
  <c r="AI23" i="1"/>
  <c r="F25" i="2" s="1"/>
  <c r="AK95" i="1"/>
  <c r="AD27" i="2" s="1"/>
  <c r="D41" i="3"/>
  <c r="AK56" i="1"/>
  <c r="Q27" i="2" s="1"/>
  <c r="AM101" i="1"/>
  <c r="O90"/>
  <c r="O92" s="1"/>
  <c r="AC11" i="2" s="1"/>
  <c r="O87" i="1"/>
  <c r="BL109"/>
  <c r="BL110"/>
  <c r="O68"/>
  <c r="U11" i="2" s="1"/>
  <c r="E45" i="3"/>
  <c r="F17"/>
  <c r="N17" i="1"/>
  <c r="D10" i="2"/>
  <c r="C13" i="3"/>
  <c r="AZ12" i="1"/>
  <c r="AO14"/>
  <c r="BR12"/>
  <c r="AZ14"/>
  <c r="C30" i="2" s="1"/>
  <c r="AG50" i="1"/>
  <c r="O23" i="2" s="1"/>
  <c r="D47" i="3"/>
  <c r="C49"/>
  <c r="AK44" i="1"/>
  <c r="M27" i="2" s="1"/>
  <c r="AZ71" i="1"/>
  <c r="V30" i="2" s="1"/>
  <c r="N15" i="3"/>
  <c r="AN101" i="1"/>
  <c r="AF15" i="2"/>
  <c r="L46" i="3"/>
  <c r="AK89" i="1"/>
  <c r="AB27" i="2" s="1"/>
  <c r="AZ44" i="1"/>
  <c r="M30" i="2" s="1"/>
  <c r="N48" i="3"/>
  <c r="N49" s="1"/>
  <c r="AK74" i="1"/>
  <c r="W27" i="2" s="1"/>
  <c r="F15" i="3"/>
  <c r="D12"/>
  <c r="D13" s="1"/>
  <c r="L21"/>
  <c r="AZ65" i="1"/>
  <c r="T30" i="2" s="1"/>
  <c r="BR64" i="1"/>
  <c r="BR65"/>
  <c r="T34" i="2" s="1"/>
  <c r="N65" i="1"/>
  <c r="T10" i="2" s="1"/>
  <c r="P25"/>
  <c r="AH53" i="1"/>
  <c r="P24" i="2" s="1"/>
  <c r="G50" i="1"/>
  <c r="O5" i="2" s="1"/>
  <c r="BA35" i="1"/>
  <c r="J31" i="2"/>
  <c r="AK80" i="1"/>
  <c r="Y27" i="2" s="1"/>
  <c r="AH77" i="1"/>
  <c r="X24" i="2" s="1"/>
  <c r="O74" i="1"/>
  <c r="W11" i="2" s="1"/>
  <c r="H74" i="1"/>
  <c r="W6" i="2" s="1"/>
  <c r="H95" i="1"/>
  <c r="AD6" i="2" s="1"/>
  <c r="AI17" i="1"/>
  <c r="D25" i="2" s="1"/>
  <c r="BH109" i="1"/>
  <c r="M68"/>
  <c r="U9" i="2" s="1"/>
  <c r="BH110" i="1"/>
  <c r="AK41"/>
  <c r="L27" i="2" s="1"/>
  <c r="AK53" i="1"/>
  <c r="P27" i="2" s="1"/>
  <c r="AK50" i="1"/>
  <c r="O27" i="2" s="1"/>
  <c r="AK47" i="1"/>
  <c r="N27" i="2" s="1"/>
  <c r="K37" i="3"/>
  <c r="AK71" i="1"/>
  <c r="V27" i="2" s="1"/>
  <c r="AL71" i="1"/>
  <c r="P103"/>
  <c r="AL103"/>
  <c r="AM102"/>
  <c r="BR103"/>
  <c r="V103"/>
  <c r="V105"/>
  <c r="O101"/>
  <c r="O103"/>
  <c r="AL92"/>
  <c r="AK92"/>
  <c r="AC27" i="2" s="1"/>
  <c r="AN102" i="1"/>
  <c r="AM103"/>
  <c r="AN103"/>
  <c r="AF28" i="2"/>
  <c r="AM92" i="1"/>
  <c r="AC28" i="2" s="1"/>
  <c r="O97" i="1"/>
  <c r="O98" s="1"/>
  <c r="AE11" i="2" s="1"/>
  <c r="AL13" i="1"/>
  <c r="AM13" s="1"/>
  <c r="AN13" s="1"/>
  <c r="BR17"/>
  <c r="D34" i="2" s="1"/>
  <c r="AM71" i="1"/>
  <c r="V28" i="2" s="1"/>
  <c r="AG53" i="1"/>
  <c r="P23" i="2"/>
  <c r="E30" i="3"/>
  <c r="C31"/>
  <c r="AR105" i="1"/>
  <c r="AR107" s="1"/>
  <c r="AR108" s="1"/>
  <c r="M30" i="3"/>
  <c r="M31" s="1"/>
  <c r="S5" i="2"/>
  <c r="O93" i="1"/>
  <c r="O95" s="1"/>
  <c r="AD11" i="2" s="1"/>
  <c r="N51" i="3" l="1"/>
  <c r="N52" s="1"/>
  <c r="M86" i="1"/>
  <c r="AA9" i="2" s="1"/>
  <c r="BR73" i="1"/>
  <c r="BR74" s="1"/>
  <c r="W34" i="2" s="1"/>
  <c r="K22" i="3"/>
  <c r="AZ50" i="1"/>
  <c r="O30" i="2" s="1"/>
  <c r="BG106" i="1"/>
  <c r="BG107" s="1"/>
  <c r="AK14"/>
  <c r="C27" i="2" s="1"/>
  <c r="BR83" i="1"/>
  <c r="Z34" i="2" s="1"/>
  <c r="AZ56" i="1"/>
  <c r="Q30" i="2" s="1"/>
  <c r="BR34" i="1"/>
  <c r="BR35" s="1"/>
  <c r="J34" i="2" s="1"/>
  <c r="AO105" i="1"/>
  <c r="AO107" s="1"/>
  <c r="AO108" s="1"/>
  <c r="AI95"/>
  <c r="AD25" i="2" s="1"/>
  <c r="AG74" i="1"/>
  <c r="W23" i="2" s="1"/>
  <c r="AI29" i="1"/>
  <c r="H25" i="2" s="1"/>
  <c r="O81" i="1"/>
  <c r="O71"/>
  <c r="V11" i="2" s="1"/>
  <c r="O58" i="1"/>
  <c r="O37"/>
  <c r="O28"/>
  <c r="D30" i="3"/>
  <c r="D31" s="1"/>
  <c r="F21"/>
  <c r="L48"/>
  <c r="L49" s="1"/>
  <c r="N16"/>
  <c r="C46"/>
  <c r="K13"/>
  <c r="C34"/>
  <c r="N8"/>
  <c r="L28"/>
  <c r="L54"/>
  <c r="N17"/>
  <c r="M23"/>
  <c r="M25" s="1"/>
  <c r="L11"/>
  <c r="K55"/>
  <c r="K34"/>
  <c r="M20"/>
  <c r="L51"/>
  <c r="L8"/>
  <c r="E21"/>
  <c r="D15"/>
  <c r="D16" s="1"/>
  <c r="N41"/>
  <c r="E12"/>
  <c r="E13" s="1"/>
  <c r="N54"/>
  <c r="N55" s="1"/>
  <c r="N44"/>
  <c r="AZ95" i="1"/>
  <c r="AD30" i="2" s="1"/>
  <c r="L55" i="3"/>
  <c r="AI98" i="1"/>
  <c r="AE25" i="2" s="1"/>
  <c r="AI44" i="1"/>
  <c r="M25" i="2" s="1"/>
  <c r="N92" i="1"/>
  <c r="AC10" i="2" s="1"/>
  <c r="AK86" i="1"/>
  <c r="AA27" i="2" s="1"/>
  <c r="H77" i="1"/>
  <c r="X6" i="2" s="1"/>
  <c r="O64" i="1"/>
  <c r="O65" s="1"/>
  <c r="T11" i="2" s="1"/>
  <c r="O51" i="1"/>
  <c r="O52"/>
  <c r="O53" s="1"/>
  <c r="P11" i="2" s="1"/>
  <c r="K105" i="1"/>
  <c r="AI41"/>
  <c r="L25" i="2" s="1"/>
  <c r="O39" i="1"/>
  <c r="O41" s="1"/>
  <c r="L11" i="2" s="1"/>
  <c r="N38" i="1"/>
  <c r="K10" i="2" s="1"/>
  <c r="O38" i="1"/>
  <c r="K11" i="2" s="1"/>
  <c r="AG32" i="1"/>
  <c r="I23" i="2" s="1"/>
  <c r="AI32" i="1"/>
  <c r="I25" i="2" s="1"/>
  <c r="O31" i="1"/>
  <c r="AH32"/>
  <c r="I24" i="2" s="1"/>
  <c r="AQ105" i="1"/>
  <c r="AQ107" s="1"/>
  <c r="AQ108" s="1"/>
  <c r="BR50"/>
  <c r="O34" i="2" s="1"/>
  <c r="K52" i="3"/>
  <c r="L50"/>
  <c r="L33"/>
  <c r="L34" s="1"/>
  <c r="D42"/>
  <c r="D43" s="1"/>
  <c r="E24"/>
  <c r="E25" s="1"/>
  <c r="O79" i="1"/>
  <c r="O80"/>
  <c r="Y11" i="2" s="1"/>
  <c r="H71" i="1"/>
  <c r="V6" i="2" s="1"/>
  <c r="AK68" i="1"/>
  <c r="G26"/>
  <c r="G5" i="2" s="1"/>
  <c r="M55" i="3"/>
  <c r="G89" i="1"/>
  <c r="AB5" i="2" s="1"/>
  <c r="O83" i="1"/>
  <c r="Z11" i="2" s="1"/>
  <c r="O76" i="1"/>
  <c r="BG109"/>
  <c r="BR109" s="1"/>
  <c r="G68"/>
  <c r="U5" i="2" s="1"/>
  <c r="H68" i="1"/>
  <c r="U6" i="2" s="1"/>
  <c r="L22" i="3"/>
  <c r="O61" i="1"/>
  <c r="O62" s="1"/>
  <c r="S11" i="2" s="1"/>
  <c r="H59" i="1"/>
  <c r="R6" i="2" s="1"/>
  <c r="O49" i="1"/>
  <c r="O43"/>
  <c r="AM42"/>
  <c r="AN42" s="1"/>
  <c r="AL44"/>
  <c r="G41"/>
  <c r="L5" i="2" s="1"/>
  <c r="AH38" i="1"/>
  <c r="K24" i="2" s="1"/>
  <c r="AI38" i="1"/>
  <c r="K25" i="2" s="1"/>
  <c r="AG29" i="1"/>
  <c r="H23" i="2" s="1"/>
  <c r="O25" i="1"/>
  <c r="O18"/>
  <c r="AG17"/>
  <c r="D23" i="2" s="1"/>
  <c r="O15" i="1"/>
  <c r="BR106"/>
  <c r="BR92"/>
  <c r="AC34" i="2" s="1"/>
  <c r="BR52" i="1"/>
  <c r="BR53" s="1"/>
  <c r="P34" i="2" s="1"/>
  <c r="AG89" i="1"/>
  <c r="AB23" i="2" s="1"/>
  <c r="L38" i="3"/>
  <c r="L40" s="1"/>
  <c r="N38"/>
  <c r="N40" s="1"/>
  <c r="AG68" i="1"/>
  <c r="U23" i="2" s="1"/>
  <c r="E31" i="3"/>
  <c r="AK32" i="1"/>
  <c r="I27" i="2" s="1"/>
  <c r="N89" i="1"/>
  <c r="AB10" i="2" s="1"/>
  <c r="N86" i="1"/>
  <c r="AA10" i="2" s="1"/>
  <c r="H80" i="1"/>
  <c r="Y6" i="2" s="1"/>
  <c r="O75" i="1"/>
  <c r="AM65"/>
  <c r="AL65"/>
  <c r="O55"/>
  <c r="H53"/>
  <c r="P6" i="2" s="1"/>
  <c r="N47" i="1"/>
  <c r="N10" i="2" s="1"/>
  <c r="O47" i="1"/>
  <c r="N11" i="2" s="1"/>
  <c r="AK38" i="1"/>
  <c r="K27" i="2" s="1"/>
  <c r="O24" i="1"/>
  <c r="O26" s="1"/>
  <c r="G11" i="2" s="1"/>
  <c r="N26" i="1"/>
  <c r="G10" i="2" s="1"/>
  <c r="O29" i="1"/>
  <c r="H11" i="2" s="1"/>
  <c r="O21" i="1"/>
  <c r="O22"/>
  <c r="O12"/>
  <c r="M22" i="3"/>
  <c r="L52"/>
  <c r="AF36" i="2"/>
  <c r="M13" i="3"/>
  <c r="M34"/>
  <c r="D9"/>
  <c r="AK29" i="1"/>
  <c r="H27" i="2" s="1"/>
  <c r="F28" i="3"/>
  <c r="AN92" i="1"/>
  <c r="AC36" i="2"/>
  <c r="O88" i="1"/>
  <c r="M40" i="3"/>
  <c r="O85" i="1"/>
  <c r="O86" s="1"/>
  <c r="AA11" i="2" s="1"/>
  <c r="M43" i="3"/>
  <c r="O89" i="1"/>
  <c r="AB11" i="2" s="1"/>
  <c r="BK109" i="1"/>
  <c r="BK110" s="1"/>
  <c r="AK77"/>
  <c r="X27" i="2" s="1"/>
  <c r="AN71" i="1"/>
  <c r="AH68"/>
  <c r="U24" i="2" s="1"/>
  <c r="AL68" i="1"/>
  <c r="N19" i="3"/>
  <c r="M19"/>
  <c r="O59" i="1"/>
  <c r="R11" i="2" s="1"/>
  <c r="P30"/>
  <c r="G53" i="1"/>
  <c r="P5" i="2" s="1"/>
  <c r="E49" i="3"/>
  <c r="O50" i="1"/>
  <c r="O11" i="2" s="1"/>
  <c r="AL50" i="1"/>
  <c r="D49" i="3"/>
  <c r="O42" i="1"/>
  <c r="O34"/>
  <c r="O35" s="1"/>
  <c r="J11" i="2" s="1"/>
  <c r="AL35" i="1"/>
  <c r="O30"/>
  <c r="AL29"/>
  <c r="E28" i="3"/>
  <c r="D28"/>
  <c r="C25"/>
  <c r="F25"/>
  <c r="O16" i="1"/>
  <c r="D105"/>
  <c r="O13"/>
  <c r="AP105"/>
  <c r="AP107" s="1"/>
  <c r="AP108" s="1"/>
  <c r="AL11"/>
  <c r="F10" i="3"/>
  <c r="BR107" i="1"/>
  <c r="BD105"/>
  <c r="C107" s="1"/>
  <c r="W33" i="2"/>
  <c r="BG110" i="1"/>
  <c r="BR110" s="1"/>
  <c r="BG105"/>
  <c r="BA105"/>
  <c r="C109" s="1"/>
  <c r="BR20"/>
  <c r="E34" i="2" s="1"/>
  <c r="M52" i="3"/>
  <c r="AL86" i="1"/>
  <c r="AL83"/>
  <c r="AM78"/>
  <c r="AN78" s="1"/>
  <c r="AL80"/>
  <c r="K31" i="3"/>
  <c r="AL74" i="1"/>
  <c r="M28" i="3"/>
  <c r="L19"/>
  <c r="L16"/>
  <c r="M14"/>
  <c r="M16" s="1"/>
  <c r="N10"/>
  <c r="M9"/>
  <c r="M10" s="1"/>
  <c r="E46"/>
  <c r="F43"/>
  <c r="E37"/>
  <c r="F37"/>
  <c r="F31"/>
  <c r="F24" i="2"/>
  <c r="E22" i="3"/>
  <c r="F19"/>
  <c r="G108" i="4"/>
  <c r="G44"/>
  <c r="G76"/>
  <c r="C23" i="2"/>
  <c r="C25"/>
  <c r="AM96" i="1"/>
  <c r="AL98"/>
  <c r="AL95"/>
  <c r="AL89"/>
  <c r="AN79"/>
  <c r="AL77"/>
  <c r="AM75"/>
  <c r="C105"/>
  <c r="G8" i="4" s="1"/>
  <c r="G74" s="1"/>
  <c r="AL62" i="1"/>
  <c r="M59"/>
  <c r="R9" i="2" s="1"/>
  <c r="AL59" i="1"/>
  <c r="O54"/>
  <c r="AM55"/>
  <c r="AL56"/>
  <c r="M53"/>
  <c r="P9" i="2" s="1"/>
  <c r="AL53" i="1"/>
  <c r="AL47"/>
  <c r="AN43"/>
  <c r="AL41"/>
  <c r="AL38"/>
  <c r="AN34"/>
  <c r="AM35"/>
  <c r="AL32"/>
  <c r="AL26"/>
  <c r="G6" i="2"/>
  <c r="E105" i="1"/>
  <c r="AK26"/>
  <c r="AL20"/>
  <c r="D9" i="2"/>
  <c r="O17" i="1"/>
  <c r="D11" i="2" s="1"/>
  <c r="AL17" i="1"/>
  <c r="O14"/>
  <c r="C11" i="2" s="1"/>
  <c r="C10"/>
  <c r="C5"/>
  <c r="AM12" i="1"/>
  <c r="AL14"/>
  <c r="D2" i="2"/>
  <c r="A18" i="1"/>
  <c r="F34" i="3"/>
  <c r="F40"/>
  <c r="M46"/>
  <c r="F20"/>
  <c r="F22" s="1"/>
  <c r="C16"/>
  <c r="M47"/>
  <c r="M49" s="1"/>
  <c r="F51"/>
  <c r="N11"/>
  <c r="C43"/>
  <c r="C28"/>
  <c r="D20"/>
  <c r="D22" s="1"/>
  <c r="E33"/>
  <c r="E34" s="1"/>
  <c r="A39" i="4"/>
  <c r="D33" i="3"/>
  <c r="D34" s="1"/>
  <c r="K10"/>
  <c r="N21"/>
  <c r="N22" s="1"/>
  <c r="C40"/>
  <c r="E38"/>
  <c r="C22"/>
  <c r="D18"/>
  <c r="D19" s="1"/>
  <c r="E18"/>
  <c r="E19" s="1"/>
  <c r="L42"/>
  <c r="L43" s="1"/>
  <c r="D44"/>
  <c r="D46" s="1"/>
  <c r="D8"/>
  <c r="D10" s="1"/>
  <c r="E8"/>
  <c r="F50"/>
  <c r="E39"/>
  <c r="K43"/>
  <c r="D50"/>
  <c r="D52" s="1"/>
  <c r="K49"/>
  <c r="L12"/>
  <c r="L13" s="1"/>
  <c r="C37"/>
  <c r="N12"/>
  <c r="N42"/>
  <c r="N43" s="1"/>
  <c r="F44"/>
  <c r="F46" s="1"/>
  <c r="D38"/>
  <c r="D40" s="1"/>
  <c r="K25"/>
  <c r="M35"/>
  <c r="M37" s="1"/>
  <c r="N35"/>
  <c r="N37" s="1"/>
  <c r="N45"/>
  <c r="L29"/>
  <c r="L31" s="1"/>
  <c r="F11"/>
  <c r="F13" s="1"/>
  <c r="F14"/>
  <c r="F16" s="1"/>
  <c r="D36"/>
  <c r="L9"/>
  <c r="L10" s="1"/>
  <c r="E9"/>
  <c r="D35"/>
  <c r="F47"/>
  <c r="F49" s="1"/>
  <c r="E51"/>
  <c r="E52" s="1"/>
  <c r="N23"/>
  <c r="N25" s="1"/>
  <c r="AZ105" i="1" l="1"/>
  <c r="C106" s="1"/>
  <c r="O77"/>
  <c r="X11" i="2" s="1"/>
  <c r="V36"/>
  <c r="U27"/>
  <c r="AK105" i="1"/>
  <c r="O56"/>
  <c r="Q11" i="2" s="1"/>
  <c r="N46" i="3"/>
  <c r="O44" i="1"/>
  <c r="M11" i="2" s="1"/>
  <c r="AM80" i="1"/>
  <c r="AN80" s="1"/>
  <c r="AI105"/>
  <c r="O32"/>
  <c r="I11" i="2" s="1"/>
  <c r="BR105" i="1"/>
  <c r="N13" i="3"/>
  <c r="N57" s="1"/>
  <c r="AG105" i="1"/>
  <c r="AN65"/>
  <c r="M105"/>
  <c r="AM44"/>
  <c r="AN44" s="1"/>
  <c r="N105"/>
  <c r="O23"/>
  <c r="F11" i="2" s="1"/>
  <c r="F36" s="1"/>
  <c r="AH105" i="1"/>
  <c r="T28" i="2"/>
  <c r="T36" s="1"/>
  <c r="H105" i="1"/>
  <c r="AM68"/>
  <c r="AN68" s="1"/>
  <c r="F52" i="3"/>
  <c r="F54" s="1"/>
  <c r="F66" s="1"/>
  <c r="L57"/>
  <c r="N59" s="1"/>
  <c r="G105" i="1"/>
  <c r="AM50"/>
  <c r="AM29"/>
  <c r="AM11"/>
  <c r="B28" i="2" s="1"/>
  <c r="B36" s="1"/>
  <c r="AN11" i="1"/>
  <c r="G42" i="4"/>
  <c r="AM86" i="1"/>
  <c r="AM83"/>
  <c r="AM74"/>
  <c r="M57" i="3"/>
  <c r="N66" s="1"/>
  <c r="E40"/>
  <c r="C54"/>
  <c r="AN96" i="1"/>
  <c r="AM98"/>
  <c r="AM95"/>
  <c r="AM89"/>
  <c r="G106" i="4"/>
  <c r="C110" i="1"/>
  <c r="Y28" i="2"/>
  <c r="Y36" s="1"/>
  <c r="AM77" i="1"/>
  <c r="AN75"/>
  <c r="AL105"/>
  <c r="AL107" s="1"/>
  <c r="AL109" s="1"/>
  <c r="AM62"/>
  <c r="AM59"/>
  <c r="AM56"/>
  <c r="AN55"/>
  <c r="AM53"/>
  <c r="AM47"/>
  <c r="AM41"/>
  <c r="AM38"/>
  <c r="J28" i="2"/>
  <c r="J36" s="1"/>
  <c r="AN35" i="1"/>
  <c r="AM32"/>
  <c r="G27" i="2"/>
  <c r="AM26" i="1"/>
  <c r="AM20"/>
  <c r="AM17"/>
  <c r="AM14"/>
  <c r="AN12"/>
  <c r="A21"/>
  <c r="E2" i="2"/>
  <c r="E10" i="3"/>
  <c r="D37"/>
  <c r="K57"/>
  <c r="D54"/>
  <c r="F56" s="1"/>
  <c r="O105" i="1" l="1"/>
  <c r="M28" i="2"/>
  <c r="M36" s="1"/>
  <c r="U28"/>
  <c r="U36" s="1"/>
  <c r="E54" i="3"/>
  <c r="F63" s="1"/>
  <c r="O28" i="2"/>
  <c r="O36" s="1"/>
  <c r="AN50" i="1"/>
  <c r="F60" i="3"/>
  <c r="F61" s="1"/>
  <c r="AN29" i="1"/>
  <c r="H28" i="2"/>
  <c r="H36" s="1"/>
  <c r="AA28"/>
  <c r="AA36" s="1"/>
  <c r="AN86" i="1"/>
  <c r="AN83"/>
  <c r="Z28" i="2"/>
  <c r="Z36" s="1"/>
  <c r="W28"/>
  <c r="W36" s="1"/>
  <c r="AN74" i="1"/>
  <c r="AN98"/>
  <c r="AE28" i="2"/>
  <c r="AE36" s="1"/>
  <c r="AN95" i="1"/>
  <c r="AD28" i="2"/>
  <c r="AD36" s="1"/>
  <c r="AB28"/>
  <c r="AB36" s="1"/>
  <c r="AN89" i="1"/>
  <c r="X28" i="2"/>
  <c r="X36" s="1"/>
  <c r="AN77" i="1"/>
  <c r="S28" i="2"/>
  <c r="S36" s="1"/>
  <c r="AN62" i="1"/>
  <c r="R28" i="2"/>
  <c r="R36" s="1"/>
  <c r="AN59" i="1"/>
  <c r="Q28" i="2"/>
  <c r="Q36" s="1"/>
  <c r="AN56" i="1"/>
  <c r="AN53"/>
  <c r="P28" i="2"/>
  <c r="P36" s="1"/>
  <c r="N28"/>
  <c r="N36" s="1"/>
  <c r="AN47" i="1"/>
  <c r="L28" i="2"/>
  <c r="L36" s="1"/>
  <c r="AN41" i="1"/>
  <c r="AN38"/>
  <c r="K28" i="2"/>
  <c r="K36" s="1"/>
  <c r="AN32" i="1"/>
  <c r="I28" i="2"/>
  <c r="I36" s="1"/>
  <c r="G28"/>
  <c r="G36" s="1"/>
  <c r="AN26" i="1"/>
  <c r="E28" i="2"/>
  <c r="E36" s="1"/>
  <c r="AN20" i="1"/>
  <c r="D28" i="2"/>
  <c r="D36" s="1"/>
  <c r="AN17" i="1"/>
  <c r="C28" i="2"/>
  <c r="C36" s="1"/>
  <c r="AM105" i="1"/>
  <c r="G12" i="4" s="1"/>
  <c r="AN14" i="1"/>
  <c r="F2" i="2"/>
  <c r="A24" i="1"/>
  <c r="N63" i="3"/>
  <c r="N69"/>
  <c r="F68" l="1"/>
  <c r="G68" s="1"/>
  <c r="AN105" i="1"/>
  <c r="G78" i="4"/>
  <c r="G80" s="1"/>
  <c r="G110"/>
  <c r="G14"/>
  <c r="G17" s="1"/>
  <c r="G46"/>
  <c r="G48" s="1"/>
  <c r="G51" s="1"/>
  <c r="G2" i="2"/>
  <c r="A27" i="1"/>
  <c r="N64" i="3"/>
  <c r="N71"/>
  <c r="G83" i="4" l="1"/>
  <c r="G112"/>
  <c r="G115" s="1"/>
  <c r="G19"/>
  <c r="G21"/>
  <c r="G55"/>
  <c r="G53"/>
  <c r="H2" i="2"/>
  <c r="A30" i="1"/>
  <c r="G23" i="4" l="1"/>
  <c r="G87"/>
  <c r="G85"/>
  <c r="G119"/>
  <c r="G117"/>
  <c r="G57"/>
  <c r="I2" i="2"/>
  <c r="A33" i="1"/>
  <c r="G89" i="4" l="1"/>
  <c r="G121"/>
  <c r="J2" i="2"/>
  <c r="A36" i="1"/>
  <c r="K2" i="2" l="1"/>
  <c r="A39" i="1"/>
  <c r="A42" l="1"/>
  <c r="L2" i="2"/>
  <c r="A45" i="1" l="1"/>
  <c r="M2" i="2"/>
  <c r="A48" i="1" l="1"/>
  <c r="N2" i="2"/>
  <c r="A51" i="1" l="1"/>
  <c r="O2" i="2"/>
  <c r="A54" i="1" l="1"/>
  <c r="P2" i="2"/>
  <c r="A57" i="1" l="1"/>
  <c r="Q2" i="2"/>
  <c r="A60" i="1" l="1"/>
  <c r="R2" i="2"/>
  <c r="S2" l="1"/>
  <c r="A63" i="1"/>
  <c r="T2" i="2" l="1"/>
  <c r="A66" i="1"/>
  <c r="U2" i="2" l="1"/>
  <c r="A69" i="1"/>
  <c r="V2" i="2" l="1"/>
  <c r="A72" i="1"/>
  <c r="A75" l="1"/>
  <c r="W2" i="2"/>
  <c r="A78" i="1" l="1"/>
  <c r="X2" i="2"/>
  <c r="A81" i="1" l="1"/>
  <c r="Y2" i="2"/>
  <c r="A84" i="1" l="1"/>
  <c r="Z2" i="2"/>
  <c r="AA2" l="1"/>
  <c r="A87" i="1"/>
  <c r="A90" l="1"/>
  <c r="AB2" i="2"/>
  <c r="AC2" l="1"/>
  <c r="A93" i="1"/>
  <c r="AD2" i="2" l="1"/>
  <c r="A96" i="1"/>
  <c r="AE2" i="2" l="1"/>
  <c r="AF2"/>
  <c r="A101" i="1"/>
</calcChain>
</file>

<file path=xl/sharedStrings.xml><?xml version="1.0" encoding="utf-8"?>
<sst xmlns="http://schemas.openxmlformats.org/spreadsheetml/2006/main" count="324" uniqueCount="159">
  <si>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</si>
  <si>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</si>
  <si>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</si>
  <si>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</si>
  <si>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</si>
  <si>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</si>
  <si>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</si>
  <si>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</si>
  <si>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</si>
  <si>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</si>
  <si>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</si>
  <si>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</si>
  <si>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</si>
  <si>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</si>
  <si>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</si>
  <si>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</si>
  <si>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</si>
  <si>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</si>
  <si>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</si>
  <si>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</si>
  <si>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</si>
  <si>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</si>
  <si>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</si>
  <si>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</si>
  <si>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</si>
  <si>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</si>
  <si>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</si>
  <si>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</si>
  <si>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</si>
  <si>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</si>
  <si>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</si>
  <si>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</si>
  <si>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</si>
  <si>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</si>
  <si>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</si>
  <si>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</si>
  <si>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</si>
  <si>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</si>
  <si>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</si>
  <si>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</si>
  <si>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</si>
  <si>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</si>
  <si>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</si>
  <si>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</si>
  <si>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</si>
  <si>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</si>
  <si>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</si>
  <si>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</si>
  <si>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</si>
  <si>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</si>
  <si>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</si>
  <si>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</si>
  <si>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</si>
  <si>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</si>
  <si>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</si>
  <si>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</si>
  <si>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</si>
  <si>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</si>
  <si>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</si>
  <si>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</si>
  <si>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</si>
  <si>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</si>
  <si>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</si>
  <si>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</si>
  <si>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</si>
  <si>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</si>
  <si>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</si>
  <si>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</si>
  <si>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</si>
  <si>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</si>
  <si>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</si>
  <si>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</si>
  <si>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</si>
  <si>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</si>
  <si>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</si>
  <si>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</si>
  <si>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</si>
  <si>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</si>
  <si>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</si>
  <si>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</si>
  <si>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</si>
  <si>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</si>
  <si>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</si>
  <si>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</si>
  <si>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</si>
  <si>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</si>
  <si>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</si>
  <si>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</si>
  <si>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</si>
  <si>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</si>
  <si>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</si>
  <si>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</si>
  <si>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</si>
  <si>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</si>
  <si>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</si>
  <si>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</si>
  <si>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</si>
  <si>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</si>
  <si>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</si>
  <si>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</si>
  <si>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</si>
  <si>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</si>
  <si>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</si>
  <si>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</si>
  <si>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</si>
  <si>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</si>
  <si>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</si>
  <si>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</si>
  <si>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</si>
  <si>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</si>
  <si>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</si>
  <si>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</si>
  <si>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</si>
  <si>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</si>
  <si>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</si>
  <si>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</si>
  <si>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</si>
  <si>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</si>
  <si>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</si>
  <si>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</si>
  <si>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Toshco Inc</t>
  </si>
  <si>
    <t>VAN DOUGH</t>
  </si>
  <si>
    <t>QUANTITY</t>
  </si>
  <si>
    <t>COOKIES</t>
  </si>
  <si>
    <t>Oreo cream Cheese  Cookie</t>
  </si>
  <si>
    <t>Chocolate Chip</t>
  </si>
  <si>
    <t>Double Chocolate Chip</t>
  </si>
  <si>
    <t>Belgian White Chocolate - Cranberry</t>
  </si>
  <si>
    <t>Banana Walnut Chocolate Chip</t>
  </si>
  <si>
    <t>Lace Chocolate Cookie</t>
  </si>
  <si>
    <t>Chocolate Kiss</t>
  </si>
  <si>
    <t>Glutenfree Double Double Chocolate Chip</t>
  </si>
  <si>
    <t>Bacon Maple Chocolate Chip</t>
  </si>
  <si>
    <t>Carrot Cake Cookie Sandwich</t>
  </si>
  <si>
    <t>Peanut Butter Cookie Sandwich</t>
  </si>
  <si>
    <t>COOKIE BARS</t>
  </si>
  <si>
    <t>Decadent Salted Caramel-Chocolate Bar</t>
  </si>
  <si>
    <t>Choco-Caramel Oatmel Bar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</si>
  <si>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</si>
  <si>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</si>
  <si>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</si>
  <si>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</si>
  <si>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</si>
  <si>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</si>
  <si>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</si>
  <si>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</si>
  <si>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</si>
  <si>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FOR THE MONTH ENDED November 2015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</si>
  <si>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</si>
  <si>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</si>
  <si>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</si>
  <si>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</si>
  <si>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</si>
  <si>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</si>
  <si>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FOR THE MONTH ENDED  JUNE 2018</t>
  </si>
  <si>
    <t>SATURDAY</t>
  </si>
  <si>
    <t>SUNDAY</t>
  </si>
  <si>
    <t>HOLIDAY/STORE CLOSED</t>
  </si>
  <si>
    <t>Nanacy (EC)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</si>
</sst>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1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1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1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1" fillId="0" borderId="0" xfId="0" applyNumberFormat="1" applyFont="1"/>
    <xf numFmtId="43" fontId="11" fillId="0" borderId="0" xfId="0" applyNumberFormat="1" applyFont="1"/>
    <xf numFmtId="43" fontId="11" fillId="0" borderId="0" xfId="4" applyNumberFormat="1" applyFont="1"/>
    <xf numFmtId="10" fontId="11" fillId="0" borderId="0" xfId="4" applyNumberFormat="1" applyFont="1"/>
    <xf numFmtId="43" fontId="11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2" fillId="0" borderId="0" xfId="0" applyNumberFormat="1" applyFont="1"/>
    <xf numFmtId="43" fontId="10" fillId="0" borderId="0" xfId="1" applyFont="1"/>
    <xf numFmtId="14" fontId="3" fillId="3" borderId="0" xfId="1" applyNumberFormat="1" applyFont="1" applyFill="1" applyBorder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43" fontId="3" fillId="3" borderId="10" xfId="1" applyFont="1" applyFill="1" applyBorder="1"/>
    <xf numFmtId="0" fontId="11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14" fontId="3" fillId="3" borderId="0" xfId="1" applyNumberFormat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/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2" fillId="0" borderId="36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U190"/>
  <sheetViews>
    <sheetView tabSelected="1" zoomScale="120" zoomScaleNormal="120" workbookViewId="0">
      <pane xSplit="3" ySplit="7" topLeftCell="AQ97" activePane="bottomRight" state="frozen"/>
      <selection pane="topRight" activeCell="D1" sqref="D1"/>
      <selection pane="bottomLeft" activeCell="A8" sqref="A8"/>
      <selection pane="bottomRight" activeCell="AN109" sqref="AN109"/>
    </sheetView>
  </sheetViews>
  <sheetFormatPr defaultRowHeight="1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57" width="10.7109375" style="136" customWidth="1"/>
    <col min="58" max="58" width="10.7109375" style="136" hidden="1" customWidth="1"/>
    <col min="59" max="59" width="10.7109375" style="136" customWidth="1"/>
    <col min="60" max="60" width="13" style="136" customWidth="1"/>
    <col min="61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3.25">
      <c r="A4" s="9" t="s">
        <v>154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" thickBot="1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16.5" customHeight="1" thickTop="1" thickBot="1">
      <c r="A6" s="187" t="s">
        <v>2</v>
      </c>
      <c r="B6" s="180" t="s">
        <v>3</v>
      </c>
      <c r="C6" s="183" t="s">
        <v>4</v>
      </c>
      <c r="D6" s="185" t="s">
        <v>5</v>
      </c>
      <c r="E6" s="185" t="s">
        <v>6</v>
      </c>
      <c r="F6" s="185" t="s">
        <v>7</v>
      </c>
      <c r="G6" s="183" t="s">
        <v>8</v>
      </c>
      <c r="H6" s="183" t="s">
        <v>9</v>
      </c>
      <c r="I6" s="185" t="s">
        <v>10</v>
      </c>
      <c r="J6" s="185" t="s">
        <v>11</v>
      </c>
      <c r="K6" s="185" t="s">
        <v>12</v>
      </c>
      <c r="L6" s="185" t="s">
        <v>13</v>
      </c>
      <c r="M6" s="180" t="s">
        <v>14</v>
      </c>
      <c r="N6" s="180" t="s">
        <v>15</v>
      </c>
      <c r="O6" s="180" t="s">
        <v>16</v>
      </c>
      <c r="P6" s="180" t="s">
        <v>17</v>
      </c>
      <c r="Q6" s="185" t="s">
        <v>46</v>
      </c>
      <c r="R6" s="185" t="s">
        <v>18</v>
      </c>
      <c r="S6" s="185" t="s">
        <v>19</v>
      </c>
      <c r="T6" s="180" t="s">
        <v>20</v>
      </c>
      <c r="U6" s="180" t="s">
        <v>21</v>
      </c>
      <c r="V6" s="180" t="s">
        <v>22</v>
      </c>
      <c r="W6" s="180" t="s">
        <v>47</v>
      </c>
      <c r="X6" s="185" t="s">
        <v>46</v>
      </c>
      <c r="Y6" s="64"/>
      <c r="Z6" s="185" t="s">
        <v>23</v>
      </c>
      <c r="AA6" s="197" t="s">
        <v>24</v>
      </c>
      <c r="AB6" s="185" t="s">
        <v>25</v>
      </c>
      <c r="AC6" s="185" t="s">
        <v>26</v>
      </c>
      <c r="AD6" s="202" t="s">
        <v>95</v>
      </c>
      <c r="AE6" s="203"/>
      <c r="AF6" s="204" t="s">
        <v>28</v>
      </c>
      <c r="AG6" s="190" t="s">
        <v>29</v>
      </c>
      <c r="AH6" s="199"/>
      <c r="AI6" s="183" t="s">
        <v>30</v>
      </c>
      <c r="AJ6" s="64"/>
      <c r="AK6" s="183" t="s">
        <v>31</v>
      </c>
      <c r="AL6" s="183" t="s">
        <v>32</v>
      </c>
      <c r="AM6" s="205" t="s">
        <v>33</v>
      </c>
      <c r="AN6" s="200" t="s">
        <v>103</v>
      </c>
      <c r="AO6" s="17"/>
      <c r="AP6" s="192" t="s">
        <v>63</v>
      </c>
      <c r="AQ6" s="192" t="s">
        <v>64</v>
      </c>
      <c r="AR6" s="192" t="s">
        <v>111</v>
      </c>
      <c r="AS6" s="192" t="s">
        <v>65</v>
      </c>
      <c r="AT6" s="192" t="s">
        <v>98</v>
      </c>
      <c r="AU6" s="192" t="s">
        <v>119</v>
      </c>
      <c r="AV6" s="192" t="s">
        <v>113</v>
      </c>
      <c r="AW6" s="192" t="s">
        <v>114</v>
      </c>
      <c r="AX6" s="192" t="s">
        <v>115</v>
      </c>
      <c r="AY6" s="66"/>
      <c r="AZ6" s="68"/>
      <c r="BA6" s="194" t="s">
        <v>34</v>
      </c>
      <c r="BB6" s="70"/>
      <c r="BC6" s="183" t="s">
        <v>25</v>
      </c>
      <c r="BD6" s="183" t="s">
        <v>35</v>
      </c>
      <c r="BE6" s="192" t="s">
        <v>153</v>
      </c>
      <c r="BF6" s="192" t="s">
        <v>143</v>
      </c>
      <c r="BG6" s="192" t="s">
        <v>112</v>
      </c>
      <c r="BH6" s="192" t="s">
        <v>146</v>
      </c>
      <c r="BI6" s="192" t="s">
        <v>150</v>
      </c>
      <c r="BJ6" s="192" t="s">
        <v>151</v>
      </c>
      <c r="BK6" s="192" t="s">
        <v>152</v>
      </c>
      <c r="BL6" s="192" t="s">
        <v>145</v>
      </c>
      <c r="BM6" s="192" t="s">
        <v>116</v>
      </c>
      <c r="BN6" s="192" t="s">
        <v>118</v>
      </c>
      <c r="BO6" s="18"/>
      <c r="BP6" s="18"/>
      <c r="BQ6" s="18"/>
      <c r="BR6" s="190" t="s">
        <v>36</v>
      </c>
    </row>
    <row r="7" spans="1:125" ht="35.25" thickTop="1" thickBot="1">
      <c r="A7" s="188"/>
      <c r="B7" s="181"/>
      <c r="C7" s="184"/>
      <c r="D7" s="189"/>
      <c r="E7" s="189"/>
      <c r="F7" s="186"/>
      <c r="G7" s="184"/>
      <c r="H7" s="184"/>
      <c r="I7" s="186"/>
      <c r="J7" s="186"/>
      <c r="K7" s="189"/>
      <c r="L7" s="186"/>
      <c r="M7" s="181"/>
      <c r="N7" s="181"/>
      <c r="O7" s="181"/>
      <c r="P7" s="181"/>
      <c r="Q7" s="186"/>
      <c r="R7" s="189"/>
      <c r="S7" s="186"/>
      <c r="T7" s="181"/>
      <c r="U7" s="181"/>
      <c r="V7" s="181"/>
      <c r="W7" s="181"/>
      <c r="X7" s="186"/>
      <c r="Y7" s="19" t="s">
        <v>37</v>
      </c>
      <c r="Z7" s="189"/>
      <c r="AA7" s="198"/>
      <c r="AB7" s="189"/>
      <c r="AC7" s="189"/>
      <c r="AD7" s="118" t="s">
        <v>96</v>
      </c>
      <c r="AE7" s="119" t="s">
        <v>97</v>
      </c>
      <c r="AF7" s="189"/>
      <c r="AG7" s="20" t="s">
        <v>38</v>
      </c>
      <c r="AH7" s="20" t="s">
        <v>39</v>
      </c>
      <c r="AI7" s="196"/>
      <c r="AJ7" s="65" t="s">
        <v>40</v>
      </c>
      <c r="AK7" s="184"/>
      <c r="AL7" s="184"/>
      <c r="AM7" s="206"/>
      <c r="AN7" s="201"/>
      <c r="AO7" s="21" t="s">
        <v>66</v>
      </c>
      <c r="AP7" s="193"/>
      <c r="AQ7" s="193"/>
      <c r="AR7" s="193"/>
      <c r="AS7" s="193"/>
      <c r="AT7" s="193"/>
      <c r="AU7" s="193"/>
      <c r="AV7" s="193"/>
      <c r="AW7" s="193"/>
      <c r="AX7" s="193"/>
      <c r="AY7" s="67"/>
      <c r="AZ7" s="69" t="s">
        <v>41</v>
      </c>
      <c r="BA7" s="195"/>
      <c r="BB7" s="71" t="s">
        <v>42</v>
      </c>
      <c r="BC7" s="196"/>
      <c r="BD7" s="196"/>
      <c r="BE7" s="193"/>
      <c r="BF7" s="193"/>
      <c r="BG7" s="193"/>
      <c r="BH7" s="193"/>
      <c r="BI7" s="193"/>
      <c r="BJ7" s="193"/>
      <c r="BK7" s="193"/>
      <c r="BL7" s="193"/>
      <c r="BM7" s="193"/>
      <c r="BN7" s="193"/>
      <c r="BO7" s="22"/>
      <c r="BP7" s="22"/>
      <c r="BQ7" s="22"/>
      <c r="BR7" s="191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>
      <c r="A9" s="175">
        <v>43252</v>
      </c>
      <c r="B9" s="32" t="s">
        <v>43</v>
      </c>
      <c r="C9" s="33">
        <v>24485.360000000001</v>
      </c>
      <c r="D9" s="34">
        <v>17821.349999999999</v>
      </c>
      <c r="E9" s="34">
        <v>17825</v>
      </c>
      <c r="F9" s="35">
        <v>43252</v>
      </c>
      <c r="G9" s="33">
        <f>IF(E9-D9&lt;0,E9-D9,0)*-1</f>
        <v>0</v>
      </c>
      <c r="H9" s="33">
        <f>IF(E9-D9&gt;0,E9-D9,0)</f>
        <v>3.6500000000014552</v>
      </c>
      <c r="I9" s="34"/>
      <c r="J9" s="34"/>
      <c r="K9" s="34">
        <v>6370.62</v>
      </c>
      <c r="L9" s="34"/>
      <c r="M9" s="36">
        <f>(+K9)*M$5</f>
        <v>136.96832999999998</v>
      </c>
      <c r="N9" s="36">
        <f>(+K9)*N$5</f>
        <v>31.853100000000001</v>
      </c>
      <c r="O9" s="36">
        <f>+K9-M9-N9+P9</f>
        <v>6201.7985699999999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>
        <f>16.5+51</f>
        <v>67.5</v>
      </c>
      <c r="AA9" s="34"/>
      <c r="AB9" s="34"/>
      <c r="AC9" s="34">
        <v>225.89</v>
      </c>
      <c r="AD9" s="38"/>
      <c r="AE9" s="38"/>
      <c r="AF9" s="34">
        <v>1730.91</v>
      </c>
      <c r="AG9" s="33">
        <f>(AF9*0.8)*0.85</f>
        <v>1177.0188000000001</v>
      </c>
      <c r="AH9" s="33">
        <f>(AF9*0.8)*0.15</f>
        <v>207.70920000000001</v>
      </c>
      <c r="AI9" s="33">
        <f>AF9*0.2</f>
        <v>346.18200000000002</v>
      </c>
      <c r="AJ9" s="34"/>
      <c r="AK9" s="33">
        <f t="shared" ref="AK9" si="0">(C9-AF9-AJ9)/1.12</f>
        <v>20316.473214285714</v>
      </c>
      <c r="AL9" s="33">
        <f t="shared" ref="AL9" si="1">AK9-SUM(Y9:AC9)</f>
        <v>20023.083214285714</v>
      </c>
      <c r="AM9" s="33">
        <f t="shared" ref="AM9" si="2">+AL9*0.12</f>
        <v>2402.7699857142857</v>
      </c>
      <c r="AN9" s="33">
        <f t="shared" ref="AN9" si="3">+AM9+AL9+AJ9</f>
        <v>22425.853200000001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>
      <c r="A10" s="182"/>
      <c r="B10" s="15" t="s">
        <v>44</v>
      </c>
      <c r="C10" s="33">
        <v>27621.94</v>
      </c>
      <c r="D10" s="34">
        <v>21871.62</v>
      </c>
      <c r="E10" s="34">
        <v>21875</v>
      </c>
      <c r="F10" s="35">
        <v>43255</v>
      </c>
      <c r="G10" s="33">
        <f>IF(E10-D10&lt;0,E10-D10,0)*-1</f>
        <v>0</v>
      </c>
      <c r="H10" s="33">
        <f>IF(E10-D10&gt;0,E10-D10,0)</f>
        <v>3.3800000000010186</v>
      </c>
      <c r="I10" s="34"/>
      <c r="J10" s="34"/>
      <c r="K10" s="34">
        <v>5557.24</v>
      </c>
      <c r="L10" s="34"/>
      <c r="M10" s="36">
        <f>(+K10)*M$5</f>
        <v>119.48065999999999</v>
      </c>
      <c r="N10" s="36">
        <f>(+K10)*N$5</f>
        <v>27.786200000000001</v>
      </c>
      <c r="O10" s="36">
        <f>+K10-M10-N10+P10</f>
        <v>5409.9731400000001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>
        <v>18.5</v>
      </c>
      <c r="AA10" s="34">
        <v>15.5</v>
      </c>
      <c r="AB10" s="34"/>
      <c r="AC10" s="34">
        <v>159.08000000000001</v>
      </c>
      <c r="AD10" s="38"/>
      <c r="AE10" s="38"/>
      <c r="AF10" s="34">
        <v>2006.39</v>
      </c>
      <c r="AG10" s="33">
        <f>(AF10*0.8)*0.85</f>
        <v>1364.3452</v>
      </c>
      <c r="AH10" s="33">
        <f>(AF10*0.8)*0.15</f>
        <v>240.76679999999999</v>
      </c>
      <c r="AI10" s="33">
        <f>AF10*0.2</f>
        <v>401.27800000000002</v>
      </c>
      <c r="AJ10" s="34"/>
      <c r="AK10" s="33">
        <f t="shared" ref="AK10" si="4">(C10-AF10-AJ10)/1.12</f>
        <v>22871.026785714283</v>
      </c>
      <c r="AL10" s="33">
        <f t="shared" ref="AL10" si="5">AK10-SUM(Y10:AC10)</f>
        <v>22677.946785714281</v>
      </c>
      <c r="AM10" s="33">
        <f t="shared" ref="AM10" si="6">+AL10*0.12</f>
        <v>2721.3536142857138</v>
      </c>
      <c r="AN10" s="33">
        <f t="shared" ref="AN10" si="7">+AM10+AL10+AJ10</f>
        <v>25399.300399999993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>
        <v>110</v>
      </c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110</v>
      </c>
    </row>
    <row r="11" spans="1:125" s="166" customFormat="1" ht="15.75" thickBot="1">
      <c r="A11" s="160"/>
      <c r="B11" s="43"/>
      <c r="C11" s="44">
        <f>SUBTOTAL(9,C9:C10)</f>
        <v>52107.3</v>
      </c>
      <c r="D11" s="45">
        <f>SUBTOTAL(9,D9:D10)</f>
        <v>39692.97</v>
      </c>
      <c r="E11" s="45">
        <f>SUBTOTAL(9,E9:E10)</f>
        <v>39700</v>
      </c>
      <c r="F11" s="45"/>
      <c r="G11" s="45">
        <f t="shared" ref="G11:P11" si="8">SUBTOTAL(9,G9:G10)</f>
        <v>0</v>
      </c>
      <c r="H11" s="45">
        <f t="shared" si="8"/>
        <v>7.0300000000024738</v>
      </c>
      <c r="I11" s="45">
        <f t="shared" si="8"/>
        <v>0</v>
      </c>
      <c r="J11" s="45">
        <f t="shared" si="8"/>
        <v>0</v>
      </c>
      <c r="K11" s="162">
        <f t="shared" si="8"/>
        <v>11927.86</v>
      </c>
      <c r="L11" s="45">
        <f t="shared" si="8"/>
        <v>0</v>
      </c>
      <c r="M11" s="46">
        <f t="shared" si="8"/>
        <v>256.44898999999998</v>
      </c>
      <c r="N11" s="46">
        <f t="shared" si="8"/>
        <v>59.639300000000006</v>
      </c>
      <c r="O11" s="46">
        <f t="shared" si="8"/>
        <v>11611.771710000001</v>
      </c>
      <c r="P11" s="46">
        <f t="shared" si="8"/>
        <v>0</v>
      </c>
      <c r="Q11" s="47"/>
      <c r="R11" s="45">
        <f t="shared" ref="R11:BQ11" si="9">SUBTOTAL(9,R9:R10)</f>
        <v>0</v>
      </c>
      <c r="S11" s="45">
        <f t="shared" si="9"/>
        <v>0</v>
      </c>
      <c r="T11" s="46">
        <f t="shared" si="9"/>
        <v>0</v>
      </c>
      <c r="U11" s="46">
        <f t="shared" si="9"/>
        <v>0</v>
      </c>
      <c r="V11" s="46">
        <f t="shared" si="9"/>
        <v>0</v>
      </c>
      <c r="W11" s="46">
        <f t="shared" si="9"/>
        <v>0</v>
      </c>
      <c r="X11" s="47"/>
      <c r="Y11" s="45">
        <f>SUBTOTAL(9,Y9:Y10)</f>
        <v>0</v>
      </c>
      <c r="Z11" s="45"/>
      <c r="AA11" s="45"/>
      <c r="AB11" s="45"/>
      <c r="AC11" s="165"/>
      <c r="AD11" s="48"/>
      <c r="AE11" s="48"/>
      <c r="AF11" s="45"/>
      <c r="AG11" s="44">
        <f t="shared" si="9"/>
        <v>2541.364</v>
      </c>
      <c r="AH11" s="44">
        <f t="shared" si="9"/>
        <v>448.476</v>
      </c>
      <c r="AI11" s="44">
        <f t="shared" si="9"/>
        <v>747.46</v>
      </c>
      <c r="AJ11" s="45">
        <f t="shared" si="9"/>
        <v>0</v>
      </c>
      <c r="AK11" s="44">
        <f t="shared" si="9"/>
        <v>43187.5</v>
      </c>
      <c r="AL11" s="44">
        <f t="shared" si="9"/>
        <v>42701.03</v>
      </c>
      <c r="AM11" s="44">
        <f t="shared" si="9"/>
        <v>5124.123599999999</v>
      </c>
      <c r="AN11" s="44">
        <f>+AN10+AN9</f>
        <v>47825.153599999991</v>
      </c>
      <c r="AO11" s="49">
        <f t="shared" si="9"/>
        <v>0</v>
      </c>
      <c r="AP11" s="49">
        <f t="shared" si="9"/>
        <v>0</v>
      </c>
      <c r="AQ11" s="49">
        <f t="shared" si="9"/>
        <v>0</v>
      </c>
      <c r="AR11" s="49">
        <f t="shared" si="9"/>
        <v>0</v>
      </c>
      <c r="AS11" s="49">
        <f t="shared" si="9"/>
        <v>0</v>
      </c>
      <c r="AT11" s="49">
        <f t="shared" si="9"/>
        <v>0</v>
      </c>
      <c r="AU11" s="49">
        <f>SUBTOTAL(9,AU9:AU10)</f>
        <v>0</v>
      </c>
      <c r="AV11" s="49">
        <f t="shared" si="9"/>
        <v>0</v>
      </c>
      <c r="AW11" s="49">
        <f t="shared" si="9"/>
        <v>0</v>
      </c>
      <c r="AX11" s="49">
        <f t="shared" si="9"/>
        <v>0</v>
      </c>
      <c r="AY11" s="49">
        <f t="shared" si="9"/>
        <v>0</v>
      </c>
      <c r="AZ11" s="44">
        <f t="shared" si="9"/>
        <v>0</v>
      </c>
      <c r="BA11" s="48">
        <f t="shared" si="9"/>
        <v>110</v>
      </c>
      <c r="BB11" s="48">
        <f t="shared" si="9"/>
        <v>0</v>
      </c>
      <c r="BC11" s="44">
        <f t="shared" si="9"/>
        <v>0</v>
      </c>
      <c r="BD11" s="44">
        <f t="shared" si="9"/>
        <v>0</v>
      </c>
      <c r="BE11" s="49">
        <f t="shared" si="9"/>
        <v>0</v>
      </c>
      <c r="BF11" s="49">
        <f>SUBTOTAL(9,BF9:BF10)</f>
        <v>0</v>
      </c>
      <c r="BG11" s="49">
        <f t="shared" si="9"/>
        <v>0</v>
      </c>
      <c r="BH11" s="49">
        <f t="shared" si="9"/>
        <v>0</v>
      </c>
      <c r="BI11" s="49">
        <f t="shared" si="9"/>
        <v>0</v>
      </c>
      <c r="BJ11" s="49">
        <f t="shared" si="9"/>
        <v>0</v>
      </c>
      <c r="BK11" s="49">
        <f t="shared" si="9"/>
        <v>0</v>
      </c>
      <c r="BL11" s="49">
        <f t="shared" si="9"/>
        <v>0</v>
      </c>
      <c r="BM11" s="49">
        <f t="shared" si="9"/>
        <v>0</v>
      </c>
      <c r="BN11" s="49">
        <f t="shared" si="9"/>
        <v>0</v>
      </c>
      <c r="BO11" s="49">
        <f t="shared" si="9"/>
        <v>0</v>
      </c>
      <c r="BP11" s="49">
        <f t="shared" si="9"/>
        <v>0</v>
      </c>
      <c r="BQ11" s="49">
        <f t="shared" si="9"/>
        <v>0</v>
      </c>
      <c r="BR11" s="44">
        <f>SUBTOTAL(9,BR9:BR10)</f>
        <v>110</v>
      </c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8"/>
      <c r="CV11" s="167"/>
      <c r="CW11" s="167"/>
      <c r="CX11" s="167"/>
      <c r="CY11" s="167"/>
      <c r="CZ11" s="167"/>
      <c r="DA11" s="167"/>
      <c r="DB11" s="167"/>
      <c r="DC11" s="167"/>
      <c r="DD11" s="167"/>
      <c r="DE11" s="167"/>
      <c r="DF11" s="167"/>
      <c r="DG11" s="167"/>
      <c r="DH11" s="167"/>
      <c r="DI11" s="167"/>
      <c r="DJ11" s="167"/>
      <c r="DK11" s="167"/>
      <c r="DL11" s="167"/>
      <c r="DM11" s="167"/>
      <c r="DN11" s="167"/>
      <c r="DO11" s="167"/>
      <c r="DP11" s="167"/>
      <c r="DQ11" s="167"/>
      <c r="DR11" s="167"/>
      <c r="DS11" s="167"/>
      <c r="DT11" s="167"/>
      <c r="DU11" s="167"/>
    </row>
    <row r="12" spans="1:125">
      <c r="A12" s="175">
        <f>A9+1</f>
        <v>43253</v>
      </c>
      <c r="B12" s="32" t="s">
        <v>43</v>
      </c>
      <c r="C12" s="33" t="s">
        <v>155</v>
      </c>
      <c r="D12" s="34"/>
      <c r="E12" s="34"/>
      <c r="F12" s="35"/>
      <c r="G12" s="33">
        <f>IF(E12-D12&lt;0,E12-D12,0)*-1</f>
        <v>0</v>
      </c>
      <c r="H12" s="33">
        <f>IF(E12-D12&gt;0,E12-D12,0)</f>
        <v>0</v>
      </c>
      <c r="I12" s="34"/>
      <c r="J12" s="34"/>
      <c r="K12" s="34"/>
      <c r="L12" s="34"/>
      <c r="M12" s="36">
        <f>(+K12)*M$5</f>
        <v>0</v>
      </c>
      <c r="N12" s="36">
        <f>(+K12)*N$5</f>
        <v>0</v>
      </c>
      <c r="O12" s="36">
        <f>+K12-M12-N12+P12</f>
        <v>0</v>
      </c>
      <c r="P12" s="36"/>
      <c r="Q12" s="37"/>
      <c r="R12" s="34"/>
      <c r="S12" s="34"/>
      <c r="T12" s="36"/>
      <c r="U12" s="36"/>
      <c r="V12" s="36"/>
      <c r="W12" s="36"/>
      <c r="X12" s="37"/>
      <c r="Y12" s="34"/>
      <c r="Z12" s="34"/>
      <c r="AA12" s="34"/>
      <c r="AB12" s="34"/>
      <c r="AC12" s="34"/>
      <c r="AD12" s="38"/>
      <c r="AE12" s="38"/>
      <c r="AF12" s="34"/>
      <c r="AG12" s="33">
        <f>(AF12*0.8)*0.85</f>
        <v>0</v>
      </c>
      <c r="AH12" s="33">
        <f>(AF12*0.8)*0.15</f>
        <v>0</v>
      </c>
      <c r="AI12" s="33">
        <f>AF12*0.2</f>
        <v>0</v>
      </c>
      <c r="AJ12" s="34"/>
      <c r="AK12" s="33">
        <v>0</v>
      </c>
      <c r="AL12" s="33">
        <f>AK12-SUM(Y12:AC12)</f>
        <v>0</v>
      </c>
      <c r="AM12" s="33">
        <f>+AL12*0.12</f>
        <v>0</v>
      </c>
      <c r="AN12" s="33">
        <f>+AM12+AL12+AJ12</f>
        <v>0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thickBot="1">
      <c r="A13" s="176"/>
      <c r="B13" s="15" t="s">
        <v>44</v>
      </c>
      <c r="C13" s="33">
        <v>6271.03</v>
      </c>
      <c r="D13" s="34">
        <v>6271.03</v>
      </c>
      <c r="E13" s="34">
        <v>6271</v>
      </c>
      <c r="F13" s="35">
        <v>43255</v>
      </c>
      <c r="G13" s="33">
        <f>IF(E13-D13&lt;0,E13-D13,0)*-1</f>
        <v>2.9999999999745341E-2</v>
      </c>
      <c r="H13" s="33">
        <f>IF(E13-D13&gt;0,E13-D13,0)</f>
        <v>0</v>
      </c>
      <c r="I13" s="34"/>
      <c r="J13" s="34"/>
      <c r="K13" s="34">
        <v>0</v>
      </c>
      <c r="L13" s="34"/>
      <c r="M13" s="36">
        <f>(+K13)*M$5</f>
        <v>0</v>
      </c>
      <c r="N13" s="36">
        <f>(+K13)*N$5</f>
        <v>0</v>
      </c>
      <c r="O13" s="36">
        <f>+K13-M13-N13+P13</f>
        <v>0</v>
      </c>
      <c r="P13" s="36">
        <f>L13-(L13*(M$5+N$5))</f>
        <v>0</v>
      </c>
      <c r="Q13" s="37"/>
      <c r="R13" s="34"/>
      <c r="S13" s="34"/>
      <c r="T13" s="36"/>
      <c r="U13" s="36"/>
      <c r="V13" s="36"/>
      <c r="W13" s="36"/>
      <c r="X13" s="37"/>
      <c r="Y13" s="34"/>
      <c r="Z13" s="34"/>
      <c r="AA13" s="34"/>
      <c r="AB13" s="34"/>
      <c r="AC13" s="34"/>
      <c r="AD13" s="38"/>
      <c r="AE13" s="38"/>
      <c r="AF13" s="34">
        <v>514.03</v>
      </c>
      <c r="AG13" s="33">
        <f>(AF13*0.8)*0.85</f>
        <v>349.54039999999998</v>
      </c>
      <c r="AH13" s="33">
        <f>(AF13*0.8)*0.15</f>
        <v>61.683599999999998</v>
      </c>
      <c r="AI13" s="33">
        <f>AF13*0.2</f>
        <v>102.806</v>
      </c>
      <c r="AJ13" s="34">
        <v>0</v>
      </c>
      <c r="AK13" s="33">
        <f>(C13-AF13-AJ13)/1.12</f>
        <v>5140.1785714285706</v>
      </c>
      <c r="AL13" s="33">
        <f>AK13-SUM(Y13:AC13)</f>
        <v>5140.1785714285706</v>
      </c>
      <c r="AM13" s="33">
        <f>+AL13*0.12</f>
        <v>616.82142857142844</v>
      </c>
      <c r="AN13" s="33">
        <f>+AM13+AL13+AJ13</f>
        <v>5756.9999999999991</v>
      </c>
      <c r="AO13" s="39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0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>
        <v>550</v>
      </c>
      <c r="BN13" s="39"/>
      <c r="BO13" s="39"/>
      <c r="BP13" s="39"/>
      <c r="BQ13" s="39"/>
      <c r="BR13" s="41">
        <f>AZ13+BA13+BB13+BD13-BC13</f>
        <v>0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6" customFormat="1" ht="15.75" thickBot="1">
      <c r="A14" s="160"/>
      <c r="B14" s="43"/>
      <c r="C14" s="44">
        <f>SUBTOTAL(9,C12:C13)</f>
        <v>6271.03</v>
      </c>
      <c r="D14" s="45">
        <f>SUBTOTAL(9,D12:D13)</f>
        <v>6271.03</v>
      </c>
      <c r="E14" s="45">
        <f>SUBTOTAL(9,E12:E13)</f>
        <v>6271</v>
      </c>
      <c r="F14" s="45"/>
      <c r="G14" s="45">
        <f t="shared" ref="G14:L14" si="10">SUBTOTAL(9,G12:G13)</f>
        <v>2.9999999999745341E-2</v>
      </c>
      <c r="H14" s="45">
        <f t="shared" si="10"/>
        <v>0</v>
      </c>
      <c r="I14" s="45">
        <f t="shared" si="10"/>
        <v>0</v>
      </c>
      <c r="J14" s="45">
        <f t="shared" si="10"/>
        <v>0</v>
      </c>
      <c r="K14" s="162">
        <f t="shared" si="10"/>
        <v>0</v>
      </c>
      <c r="L14" s="163">
        <f t="shared" si="10"/>
        <v>0</v>
      </c>
      <c r="M14" s="164">
        <f t="shared" ref="M14:M22" si="11">(+K14)*M$5</f>
        <v>0</v>
      </c>
      <c r="N14" s="164">
        <f t="shared" ref="N14:N22" si="12">(+K14)*N$5</f>
        <v>0</v>
      </c>
      <c r="O14" s="164">
        <f t="shared" ref="O14:O22" si="13">+K14-M14-N14+P14</f>
        <v>0</v>
      </c>
      <c r="P14" s="164">
        <f t="shared" ref="P14:P20" si="14">L14-(L14*(M$5+N$5))</f>
        <v>0</v>
      </c>
      <c r="Q14" s="47"/>
      <c r="R14" s="45">
        <f t="shared" ref="R14:BQ14" si="15">SUBTOTAL(9,R12:R13)</f>
        <v>0</v>
      </c>
      <c r="S14" s="45">
        <f t="shared" si="15"/>
        <v>0</v>
      </c>
      <c r="T14" s="46">
        <f t="shared" si="15"/>
        <v>0</v>
      </c>
      <c r="U14" s="46">
        <f t="shared" si="15"/>
        <v>0</v>
      </c>
      <c r="V14" s="46">
        <f t="shared" si="15"/>
        <v>0</v>
      </c>
      <c r="W14" s="46">
        <f t="shared" si="15"/>
        <v>0</v>
      </c>
      <c r="X14" s="47"/>
      <c r="Y14" s="45">
        <f>SUBTOTAL(9,Y12:Y13)</f>
        <v>0</v>
      </c>
      <c r="Z14" s="45"/>
      <c r="AA14" s="45"/>
      <c r="AB14" s="45"/>
      <c r="AC14" s="45"/>
      <c r="AD14" s="48"/>
      <c r="AE14" s="48"/>
      <c r="AF14" s="45"/>
      <c r="AG14" s="44">
        <f t="shared" si="15"/>
        <v>349.54039999999998</v>
      </c>
      <c r="AH14" s="44">
        <f t="shared" si="15"/>
        <v>61.683599999999998</v>
      </c>
      <c r="AI14" s="44">
        <f t="shared" si="15"/>
        <v>102.806</v>
      </c>
      <c r="AJ14" s="45">
        <f t="shared" si="15"/>
        <v>0</v>
      </c>
      <c r="AK14" s="44">
        <f t="shared" si="15"/>
        <v>5140.1785714285706</v>
      </c>
      <c r="AL14" s="44">
        <f t="shared" si="15"/>
        <v>5140.1785714285706</v>
      </c>
      <c r="AM14" s="44">
        <f t="shared" si="15"/>
        <v>616.82142857142844</v>
      </c>
      <c r="AN14" s="44">
        <f t="shared" ref="AN14:AN43" si="16">+AM14+AL14+AJ14</f>
        <v>5756.9999999999991</v>
      </c>
      <c r="AO14" s="49">
        <f t="shared" si="15"/>
        <v>0</v>
      </c>
      <c r="AP14" s="49">
        <f t="shared" si="15"/>
        <v>0</v>
      </c>
      <c r="AQ14" s="49">
        <f t="shared" si="15"/>
        <v>0</v>
      </c>
      <c r="AR14" s="49">
        <f t="shared" si="15"/>
        <v>0</v>
      </c>
      <c r="AS14" s="49">
        <f t="shared" si="15"/>
        <v>0</v>
      </c>
      <c r="AT14" s="49">
        <f t="shared" si="15"/>
        <v>0</v>
      </c>
      <c r="AU14" s="49">
        <f>SUBTOTAL(9,AU12:AU13)</f>
        <v>0</v>
      </c>
      <c r="AV14" s="49">
        <f t="shared" si="15"/>
        <v>0</v>
      </c>
      <c r="AW14" s="49">
        <f t="shared" si="15"/>
        <v>0</v>
      </c>
      <c r="AX14" s="49">
        <f t="shared" si="15"/>
        <v>0</v>
      </c>
      <c r="AY14" s="49">
        <f t="shared" si="15"/>
        <v>0</v>
      </c>
      <c r="AZ14" s="44">
        <f t="shared" si="15"/>
        <v>0</v>
      </c>
      <c r="BA14" s="48">
        <f t="shared" si="15"/>
        <v>0</v>
      </c>
      <c r="BB14" s="48">
        <f t="shared" si="15"/>
        <v>0</v>
      </c>
      <c r="BC14" s="44">
        <f t="shared" si="15"/>
        <v>0</v>
      </c>
      <c r="BD14" s="44">
        <v>0</v>
      </c>
      <c r="BE14" s="49">
        <f t="shared" si="15"/>
        <v>0</v>
      </c>
      <c r="BF14" s="49">
        <f>SUBTOTAL(9,BF12:BF13)</f>
        <v>0</v>
      </c>
      <c r="BG14" s="49">
        <f t="shared" si="15"/>
        <v>0</v>
      </c>
      <c r="BH14" s="49">
        <f t="shared" si="15"/>
        <v>0</v>
      </c>
      <c r="BI14" s="49">
        <f t="shared" si="15"/>
        <v>0</v>
      </c>
      <c r="BJ14" s="49">
        <f t="shared" si="15"/>
        <v>0</v>
      </c>
      <c r="BK14" s="49">
        <f t="shared" si="15"/>
        <v>0</v>
      </c>
      <c r="BL14" s="49">
        <f t="shared" si="15"/>
        <v>0</v>
      </c>
      <c r="BM14" s="49">
        <f t="shared" si="15"/>
        <v>550</v>
      </c>
      <c r="BN14" s="49">
        <f t="shared" si="15"/>
        <v>0</v>
      </c>
      <c r="BO14" s="49">
        <f t="shared" si="15"/>
        <v>0</v>
      </c>
      <c r="BP14" s="49">
        <f t="shared" si="15"/>
        <v>0</v>
      </c>
      <c r="BQ14" s="49">
        <f t="shared" si="15"/>
        <v>0</v>
      </c>
      <c r="BR14" s="44">
        <f>SUBTOTAL(9,BR12:BR13)</f>
        <v>0</v>
      </c>
      <c r="BU14" s="167"/>
      <c r="BV14" s="167"/>
      <c r="BW14" s="167"/>
      <c r="BX14" s="167"/>
      <c r="BY14" s="167"/>
      <c r="BZ14" s="167"/>
      <c r="CA14" s="167"/>
      <c r="CB14" s="167"/>
      <c r="CC14" s="167"/>
      <c r="CD14" s="167"/>
      <c r="CE14" s="167"/>
      <c r="CF14" s="167"/>
      <c r="CG14" s="167"/>
      <c r="CH14" s="167"/>
      <c r="CI14" s="167"/>
      <c r="CJ14" s="167"/>
      <c r="CK14" s="167"/>
      <c r="CL14" s="167"/>
      <c r="CM14" s="167"/>
      <c r="CN14" s="167"/>
      <c r="CO14" s="167"/>
      <c r="CP14" s="167"/>
      <c r="CQ14" s="167"/>
      <c r="CR14" s="167"/>
      <c r="CS14" s="167"/>
      <c r="CT14" s="167"/>
      <c r="CU14" s="167"/>
      <c r="CV14" s="167"/>
      <c r="CW14" s="167"/>
      <c r="CX14" s="167"/>
      <c r="CY14" s="167"/>
      <c r="CZ14" s="167"/>
      <c r="DA14" s="167"/>
      <c r="DB14" s="167"/>
      <c r="DC14" s="167"/>
      <c r="DD14" s="167"/>
      <c r="DE14" s="167"/>
      <c r="DF14" s="167"/>
      <c r="DG14" s="167"/>
      <c r="DH14" s="167"/>
      <c r="DI14" s="167"/>
      <c r="DJ14" s="167"/>
      <c r="DK14" s="167"/>
      <c r="DL14" s="167"/>
      <c r="DM14" s="167"/>
      <c r="DN14" s="167"/>
      <c r="DO14" s="167"/>
      <c r="DP14" s="167"/>
      <c r="DQ14" s="167"/>
      <c r="DR14" s="167"/>
      <c r="DS14" s="167"/>
      <c r="DT14" s="167"/>
      <c r="DU14" s="167"/>
    </row>
    <row r="15" spans="1:125">
      <c r="A15" s="175">
        <f>+A12+1</f>
        <v>43254</v>
      </c>
      <c r="B15" s="32" t="s">
        <v>43</v>
      </c>
      <c r="C15" s="33" t="s">
        <v>156</v>
      </c>
      <c r="D15" s="34"/>
      <c r="E15" s="34"/>
      <c r="F15" s="171"/>
      <c r="G15" s="33">
        <f>IF(E15-D15&lt;0,E15-D15,0)*-1</f>
        <v>0</v>
      </c>
      <c r="H15" s="33">
        <f>IF(E15-D15&gt;0,E15-D15,0)</f>
        <v>0</v>
      </c>
      <c r="I15" s="34"/>
      <c r="J15" s="34"/>
      <c r="K15" s="34"/>
      <c r="L15" s="34"/>
      <c r="M15" s="36">
        <f t="shared" si="11"/>
        <v>0</v>
      </c>
      <c r="N15" s="36">
        <f t="shared" si="12"/>
        <v>0</v>
      </c>
      <c r="O15" s="36">
        <f t="shared" si="13"/>
        <v>0</v>
      </c>
      <c r="P15" s="36">
        <f t="shared" si="14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/>
      <c r="AA15" s="34"/>
      <c r="AB15" s="34"/>
      <c r="AC15" s="34"/>
      <c r="AD15" s="38"/>
      <c r="AE15" s="38"/>
      <c r="AF15" s="34"/>
      <c r="AG15" s="33">
        <f>(AF15*0.8)*0.85</f>
        <v>0</v>
      </c>
      <c r="AH15" s="33">
        <f>(AF15*0.8)*0.15</f>
        <v>0</v>
      </c>
      <c r="AI15" s="33">
        <f>AF15*0.2</f>
        <v>0</v>
      </c>
      <c r="AJ15" s="34"/>
      <c r="AK15" s="33">
        <v>0</v>
      </c>
      <c r="AL15" s="33">
        <f t="shared" ref="AL15:AL16" si="17">AK15-SUM(Y15:AC15)</f>
        <v>0</v>
      </c>
      <c r="AM15" s="33">
        <f t="shared" ref="AM15:AM19" si="18">+AL15*0.12</f>
        <v>0</v>
      </c>
      <c r="AN15" s="33">
        <f t="shared" si="16"/>
        <v>0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>
      <c r="A16" s="176"/>
      <c r="B16" s="15" t="s">
        <v>44</v>
      </c>
      <c r="C16" s="33"/>
      <c r="D16" s="34"/>
      <c r="E16" s="34"/>
      <c r="F16" s="171"/>
      <c r="G16" s="33">
        <f>IF(E16-D16&lt;0,E16-D16,0)*-1</f>
        <v>0</v>
      </c>
      <c r="H16" s="33">
        <f>IF(E16-D16&gt;0,E16-D16,0)</f>
        <v>0</v>
      </c>
      <c r="I16" s="34"/>
      <c r="J16" s="34"/>
      <c r="K16" s="34"/>
      <c r="L16" s="34"/>
      <c r="M16" s="36">
        <f>(+K16)*M$5</f>
        <v>0</v>
      </c>
      <c r="N16" s="36">
        <f t="shared" si="12"/>
        <v>0</v>
      </c>
      <c r="O16" s="36">
        <f>+K16-M16-N16+P16</f>
        <v>0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/>
      <c r="AD16" s="38"/>
      <c r="AE16" s="38"/>
      <c r="AF16" s="34"/>
      <c r="AG16" s="33">
        <f>(AF16*0.8)*0.85</f>
        <v>0</v>
      </c>
      <c r="AH16" s="33">
        <f>(AF16*0.8)*0.15</f>
        <v>0</v>
      </c>
      <c r="AI16" s="33">
        <f>AF16*0.2</f>
        <v>0</v>
      </c>
      <c r="AJ16" s="34">
        <v>0</v>
      </c>
      <c r="AK16" s="33">
        <f t="shared" ref="AK16" si="19">(C16-AF16-AJ16)/1.12</f>
        <v>0</v>
      </c>
      <c r="AL16" s="33">
        <f t="shared" si="17"/>
        <v>0</v>
      </c>
      <c r="AM16" s="33">
        <f t="shared" si="18"/>
        <v>0</v>
      </c>
      <c r="AN16" s="33">
        <f t="shared" si="16"/>
        <v>0</v>
      </c>
      <c r="AO16" s="39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6" customFormat="1" ht="15.75" thickBot="1">
      <c r="A17" s="160"/>
      <c r="B17" s="43"/>
      <c r="C17" s="44">
        <f>SUBTOTAL(9,C15:C16)</f>
        <v>0</v>
      </c>
      <c r="D17" s="45">
        <f>SUBTOTAL(9,D15:D16)</f>
        <v>0</v>
      </c>
      <c r="E17" s="45">
        <f>SUBTOTAL(9,E15:E16)</f>
        <v>0</v>
      </c>
      <c r="F17" s="172"/>
      <c r="G17" s="45">
        <f t="shared" ref="G17:L17" si="20">SUBTOTAL(9,G15:G16)</f>
        <v>0</v>
      </c>
      <c r="H17" s="45">
        <f t="shared" si="20"/>
        <v>0</v>
      </c>
      <c r="I17" s="45">
        <f t="shared" si="20"/>
        <v>0</v>
      </c>
      <c r="J17" s="45">
        <f t="shared" si="20"/>
        <v>0</v>
      </c>
      <c r="K17" s="162">
        <f t="shared" si="20"/>
        <v>0</v>
      </c>
      <c r="L17" s="45">
        <f t="shared" si="20"/>
        <v>0</v>
      </c>
      <c r="M17" s="164">
        <f t="shared" si="11"/>
        <v>0</v>
      </c>
      <c r="N17" s="164">
        <f t="shared" si="12"/>
        <v>0</v>
      </c>
      <c r="O17" s="164">
        <f t="shared" si="13"/>
        <v>0</v>
      </c>
      <c r="P17" s="164">
        <f t="shared" si="14"/>
        <v>0</v>
      </c>
      <c r="Q17" s="47"/>
      <c r="R17" s="45">
        <f t="shared" ref="R17:BQ17" si="21">SUBTOTAL(9,R15:R16)</f>
        <v>0</v>
      </c>
      <c r="S17" s="45">
        <f t="shared" si="21"/>
        <v>0</v>
      </c>
      <c r="T17" s="46">
        <f t="shared" si="21"/>
        <v>0</v>
      </c>
      <c r="U17" s="46">
        <f t="shared" si="21"/>
        <v>0</v>
      </c>
      <c r="V17" s="46">
        <f t="shared" si="21"/>
        <v>0</v>
      </c>
      <c r="W17" s="46">
        <f t="shared" si="21"/>
        <v>0</v>
      </c>
      <c r="X17" s="47"/>
      <c r="Y17" s="45">
        <f>SUBTOTAL(9,Y15:Y16)</f>
        <v>0</v>
      </c>
      <c r="Z17" s="45"/>
      <c r="AA17" s="45"/>
      <c r="AB17" s="45"/>
      <c r="AC17" s="45"/>
      <c r="AD17" s="48"/>
      <c r="AE17" s="48"/>
      <c r="AF17" s="45"/>
      <c r="AG17" s="44">
        <f t="shared" si="21"/>
        <v>0</v>
      </c>
      <c r="AH17" s="44">
        <f t="shared" si="21"/>
        <v>0</v>
      </c>
      <c r="AI17" s="44">
        <f t="shared" si="21"/>
        <v>0</v>
      </c>
      <c r="AJ17" s="45">
        <f t="shared" si="21"/>
        <v>0</v>
      </c>
      <c r="AK17" s="44">
        <f t="shared" si="21"/>
        <v>0</v>
      </c>
      <c r="AL17" s="44">
        <f t="shared" si="21"/>
        <v>0</v>
      </c>
      <c r="AM17" s="44">
        <f t="shared" si="21"/>
        <v>0</v>
      </c>
      <c r="AN17" s="44">
        <f t="shared" si="16"/>
        <v>0</v>
      </c>
      <c r="AO17" s="49">
        <f t="shared" si="21"/>
        <v>0</v>
      </c>
      <c r="AP17" s="49">
        <f t="shared" si="21"/>
        <v>0</v>
      </c>
      <c r="AQ17" s="49">
        <f t="shared" si="21"/>
        <v>0</v>
      </c>
      <c r="AR17" s="49">
        <f t="shared" si="21"/>
        <v>0</v>
      </c>
      <c r="AS17" s="49">
        <f t="shared" si="21"/>
        <v>0</v>
      </c>
      <c r="AT17" s="49">
        <f t="shared" si="21"/>
        <v>0</v>
      </c>
      <c r="AU17" s="49">
        <f>SUBTOTAL(9,AU15:AU16)</f>
        <v>0</v>
      </c>
      <c r="AV17" s="49">
        <f t="shared" si="21"/>
        <v>0</v>
      </c>
      <c r="AW17" s="49">
        <f t="shared" si="21"/>
        <v>0</v>
      </c>
      <c r="AX17" s="49">
        <f t="shared" si="21"/>
        <v>0</v>
      </c>
      <c r="AY17" s="49">
        <f t="shared" si="21"/>
        <v>0</v>
      </c>
      <c r="AZ17" s="44">
        <f t="shared" si="21"/>
        <v>0</v>
      </c>
      <c r="BA17" s="48">
        <f t="shared" si="21"/>
        <v>0</v>
      </c>
      <c r="BB17" s="48">
        <f t="shared" si="21"/>
        <v>0</v>
      </c>
      <c r="BC17" s="44">
        <f t="shared" si="21"/>
        <v>0</v>
      </c>
      <c r="BD17" s="44">
        <f t="shared" si="21"/>
        <v>0</v>
      </c>
      <c r="BE17" s="49">
        <f t="shared" si="21"/>
        <v>0</v>
      </c>
      <c r="BF17" s="49">
        <f>SUBTOTAL(9,BF15:BF16)</f>
        <v>0</v>
      </c>
      <c r="BG17" s="49">
        <f t="shared" si="21"/>
        <v>0</v>
      </c>
      <c r="BH17" s="49">
        <f t="shared" si="21"/>
        <v>0</v>
      </c>
      <c r="BI17" s="49">
        <f t="shared" si="21"/>
        <v>0</v>
      </c>
      <c r="BJ17" s="49">
        <f t="shared" si="21"/>
        <v>0</v>
      </c>
      <c r="BK17" s="49">
        <f t="shared" si="21"/>
        <v>0</v>
      </c>
      <c r="BL17" s="49">
        <f t="shared" si="21"/>
        <v>0</v>
      </c>
      <c r="BM17" s="49">
        <f t="shared" si="21"/>
        <v>0</v>
      </c>
      <c r="BN17" s="49">
        <f t="shared" si="21"/>
        <v>0</v>
      </c>
      <c r="BO17" s="49">
        <f t="shared" si="21"/>
        <v>0</v>
      </c>
      <c r="BP17" s="49">
        <f t="shared" si="21"/>
        <v>0</v>
      </c>
      <c r="BQ17" s="49">
        <f t="shared" si="21"/>
        <v>0</v>
      </c>
      <c r="BR17" s="44">
        <f>SUBTOTAL(9,BR15:BR16)</f>
        <v>0</v>
      </c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7"/>
      <c r="CL17" s="167"/>
      <c r="CM17" s="167"/>
      <c r="CN17" s="167"/>
      <c r="CO17" s="167"/>
      <c r="CP17" s="167"/>
      <c r="CQ17" s="167"/>
      <c r="CR17" s="167"/>
      <c r="CS17" s="167"/>
      <c r="CT17" s="167"/>
      <c r="CU17" s="167"/>
      <c r="CV17" s="167"/>
      <c r="CW17" s="167"/>
      <c r="CX17" s="167"/>
      <c r="CY17" s="167"/>
      <c r="CZ17" s="167"/>
      <c r="DA17" s="167"/>
      <c r="DB17" s="167"/>
      <c r="DC17" s="167"/>
      <c r="DD17" s="167"/>
      <c r="DE17" s="167"/>
      <c r="DF17" s="167"/>
      <c r="DG17" s="167"/>
      <c r="DH17" s="167"/>
      <c r="DI17" s="167"/>
      <c r="DJ17" s="167"/>
      <c r="DK17" s="167"/>
      <c r="DL17" s="167"/>
      <c r="DM17" s="167"/>
      <c r="DN17" s="167"/>
      <c r="DO17" s="167"/>
      <c r="DP17" s="167"/>
      <c r="DQ17" s="167"/>
      <c r="DR17" s="167"/>
      <c r="DS17" s="167"/>
      <c r="DT17" s="167"/>
      <c r="DU17" s="167"/>
    </row>
    <row r="18" spans="1:125">
      <c r="A18" s="175">
        <f>+A15+1</f>
        <v>43255</v>
      </c>
      <c r="B18" s="32" t="s">
        <v>43</v>
      </c>
      <c r="C18" s="33">
        <v>14963.35</v>
      </c>
      <c r="D18" s="34">
        <v>11547.86</v>
      </c>
      <c r="E18" s="34">
        <v>11550</v>
      </c>
      <c r="F18" s="171">
        <v>43255</v>
      </c>
      <c r="G18" s="33">
        <f>IF(E18-D18&lt;0,E18-D18,0)*-1</f>
        <v>0</v>
      </c>
      <c r="H18" s="33">
        <f>IF(E18-D18&gt;0,E18-D18,0)</f>
        <v>2.1399999999994179</v>
      </c>
      <c r="I18" s="34"/>
      <c r="J18" s="34"/>
      <c r="K18" s="34">
        <v>3067.91</v>
      </c>
      <c r="L18" s="34"/>
      <c r="M18" s="36">
        <f t="shared" si="11"/>
        <v>65.960064999999986</v>
      </c>
      <c r="N18" s="36">
        <f t="shared" si="12"/>
        <v>15.339549999999999</v>
      </c>
      <c r="O18" s="36">
        <f t="shared" si="13"/>
        <v>2986.6103849999995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>
        <v>63.5</v>
      </c>
      <c r="AB18" s="34"/>
      <c r="AC18" s="34">
        <v>284.08</v>
      </c>
      <c r="AD18" s="38"/>
      <c r="AE18" s="38"/>
      <c r="AF18" s="34">
        <v>1083.8</v>
      </c>
      <c r="AG18" s="33">
        <f>(AF18*0.8)*0.85</f>
        <v>736.98399999999992</v>
      </c>
      <c r="AH18" s="33">
        <f>(AF18*0.8)*0.15</f>
        <v>130.05599999999998</v>
      </c>
      <c r="AI18" s="33">
        <f>AF18*0.2</f>
        <v>216.76</v>
      </c>
      <c r="AJ18" s="34"/>
      <c r="AK18" s="33">
        <f t="shared" ref="AK18:AK19" si="22">(C18-AF18-AJ18)/1.12</f>
        <v>12392.455357142857</v>
      </c>
      <c r="AL18" s="33">
        <f t="shared" ref="AL18:AL19" si="23">AK18-SUM(Y18:AC18)</f>
        <v>12044.875357142857</v>
      </c>
      <c r="AM18" s="33">
        <f t="shared" si="18"/>
        <v>1445.3850428571427</v>
      </c>
      <c r="AN18" s="33">
        <f t="shared" ref="AN18:AN19" si="24">+AM18+AL18+AJ18</f>
        <v>13490.260399999999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.75" thickBot="1">
      <c r="A19" s="176"/>
      <c r="B19" s="15" t="s">
        <v>44</v>
      </c>
      <c r="C19" s="33">
        <v>9418.8700000000008</v>
      </c>
      <c r="D19" s="34">
        <v>7076.9</v>
      </c>
      <c r="E19" s="34">
        <v>7077</v>
      </c>
      <c r="F19" s="171">
        <v>43256</v>
      </c>
      <c r="G19" s="33">
        <f>IF(E19-D19&lt;0,E19-D19,0)*-1</f>
        <v>0</v>
      </c>
      <c r="H19" s="33">
        <f>IF(E19-D19&gt;0,E19-D19,0)</f>
        <v>0.1000000000003638</v>
      </c>
      <c r="I19" s="34"/>
      <c r="J19" s="34"/>
      <c r="K19" s="34">
        <v>2216.69</v>
      </c>
      <c r="L19" s="34"/>
      <c r="M19" s="36">
        <f t="shared" si="11"/>
        <v>47.658834999999996</v>
      </c>
      <c r="N19" s="36">
        <f t="shared" si="12"/>
        <v>11.083450000000001</v>
      </c>
      <c r="O19" s="36">
        <f t="shared" si="13"/>
        <v>2157.9477149999998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v>4.5</v>
      </c>
      <c r="AA19" s="34">
        <v>15.5</v>
      </c>
      <c r="AB19" s="34">
        <v>16</v>
      </c>
      <c r="AC19" s="34">
        <v>89.28</v>
      </c>
      <c r="AD19" s="38"/>
      <c r="AE19" s="38"/>
      <c r="AF19" s="34">
        <v>717.45</v>
      </c>
      <c r="AG19" s="33">
        <f>(AF19*0.8)*0.85</f>
        <v>487.86600000000004</v>
      </c>
      <c r="AH19" s="33">
        <f>(AF19*0.8)*0.15</f>
        <v>86.094000000000008</v>
      </c>
      <c r="AI19" s="33">
        <f>AF19*0.2</f>
        <v>143.49</v>
      </c>
      <c r="AJ19" s="34">
        <v>0</v>
      </c>
      <c r="AK19" s="33">
        <f t="shared" si="22"/>
        <v>7769.1249999999991</v>
      </c>
      <c r="AL19" s="33">
        <f t="shared" si="23"/>
        <v>7643.8449999999993</v>
      </c>
      <c r="AM19" s="33">
        <f t="shared" si="18"/>
        <v>917.26139999999987</v>
      </c>
      <c r="AN19" s="33">
        <f t="shared" si="24"/>
        <v>8561.1063999999988</v>
      </c>
      <c r="AO19" s="39"/>
      <c r="AP19" s="40">
        <v>180</v>
      </c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180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180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6" customFormat="1" ht="15.75" thickBot="1">
      <c r="A20" s="160"/>
      <c r="B20" s="43"/>
      <c r="C20" s="44">
        <f>SUBTOTAL(9,C18:C19)</f>
        <v>24382.22</v>
      </c>
      <c r="D20" s="45">
        <f>SUBTOTAL(9,D18:D19)</f>
        <v>18624.760000000002</v>
      </c>
      <c r="E20" s="45">
        <f>SUBTOTAL(9,E18:E19)</f>
        <v>18627</v>
      </c>
      <c r="F20" s="172"/>
      <c r="G20" s="45">
        <f t="shared" ref="G20:L20" si="25">SUBTOTAL(9,G18:G19)</f>
        <v>0</v>
      </c>
      <c r="H20" s="45">
        <f t="shared" si="25"/>
        <v>2.2399999999997817</v>
      </c>
      <c r="I20" s="45">
        <f t="shared" si="25"/>
        <v>0</v>
      </c>
      <c r="J20" s="45">
        <f t="shared" si="25"/>
        <v>0</v>
      </c>
      <c r="K20" s="162">
        <f t="shared" si="25"/>
        <v>5284.6</v>
      </c>
      <c r="L20" s="45">
        <f t="shared" si="25"/>
        <v>0</v>
      </c>
      <c r="M20" s="164">
        <f t="shared" si="11"/>
        <v>113.6189</v>
      </c>
      <c r="N20" s="164">
        <f t="shared" si="12"/>
        <v>26.423000000000002</v>
      </c>
      <c r="O20" s="164">
        <f t="shared" si="13"/>
        <v>5144.5581000000002</v>
      </c>
      <c r="P20" s="164">
        <f t="shared" si="14"/>
        <v>0</v>
      </c>
      <c r="Q20" s="47"/>
      <c r="R20" s="45">
        <f t="shared" ref="R20:BQ20" si="26">SUBTOTAL(9,R18:R19)</f>
        <v>0</v>
      </c>
      <c r="S20" s="45">
        <f t="shared" si="26"/>
        <v>0</v>
      </c>
      <c r="T20" s="46">
        <f t="shared" si="26"/>
        <v>0</v>
      </c>
      <c r="U20" s="46">
        <f t="shared" si="26"/>
        <v>0</v>
      </c>
      <c r="V20" s="46">
        <f t="shared" si="26"/>
        <v>0</v>
      </c>
      <c r="W20" s="46">
        <f t="shared" si="26"/>
        <v>0</v>
      </c>
      <c r="X20" s="47"/>
      <c r="Y20" s="45">
        <f>SUBTOTAL(9,Y18:Y19)</f>
        <v>0</v>
      </c>
      <c r="Z20" s="45"/>
      <c r="AA20" s="45"/>
      <c r="AB20" s="45"/>
      <c r="AC20" s="45"/>
      <c r="AD20" s="48"/>
      <c r="AE20" s="48"/>
      <c r="AF20" s="45"/>
      <c r="AG20" s="44">
        <f t="shared" si="26"/>
        <v>1224.8499999999999</v>
      </c>
      <c r="AH20" s="44">
        <f t="shared" si="26"/>
        <v>216.14999999999998</v>
      </c>
      <c r="AI20" s="44">
        <f t="shared" si="26"/>
        <v>360.25</v>
      </c>
      <c r="AJ20" s="45">
        <v>0</v>
      </c>
      <c r="AK20" s="44">
        <f>SUBTOTAL(9,AK18:AK19)</f>
        <v>20161.580357142855</v>
      </c>
      <c r="AL20" s="44">
        <f t="shared" si="26"/>
        <v>19688.720357142854</v>
      </c>
      <c r="AM20" s="44">
        <f t="shared" si="26"/>
        <v>2362.6464428571426</v>
      </c>
      <c r="AN20" s="44">
        <f t="shared" si="16"/>
        <v>22051.366799999996</v>
      </c>
      <c r="AO20" s="49">
        <f t="shared" si="26"/>
        <v>0</v>
      </c>
      <c r="AP20" s="49">
        <f t="shared" si="26"/>
        <v>180</v>
      </c>
      <c r="AQ20" s="49">
        <f t="shared" si="26"/>
        <v>0</v>
      </c>
      <c r="AR20" s="49">
        <f t="shared" si="26"/>
        <v>0</v>
      </c>
      <c r="AS20" s="49">
        <f t="shared" si="26"/>
        <v>0</v>
      </c>
      <c r="AT20" s="49">
        <f t="shared" si="26"/>
        <v>0</v>
      </c>
      <c r="AU20" s="49">
        <f>SUBTOTAL(9,AU18:AU19)</f>
        <v>0</v>
      </c>
      <c r="AV20" s="49">
        <f t="shared" si="26"/>
        <v>0</v>
      </c>
      <c r="AW20" s="49">
        <f t="shared" si="26"/>
        <v>0</v>
      </c>
      <c r="AX20" s="49">
        <f t="shared" si="26"/>
        <v>0</v>
      </c>
      <c r="AY20" s="49">
        <f t="shared" si="26"/>
        <v>0</v>
      </c>
      <c r="AZ20" s="44">
        <f t="shared" si="26"/>
        <v>180</v>
      </c>
      <c r="BA20" s="48">
        <f t="shared" si="26"/>
        <v>0</v>
      </c>
      <c r="BB20" s="48">
        <f t="shared" si="26"/>
        <v>0</v>
      </c>
      <c r="BC20" s="44">
        <f t="shared" si="26"/>
        <v>0</v>
      </c>
      <c r="BD20" s="44">
        <f t="shared" si="26"/>
        <v>0</v>
      </c>
      <c r="BE20" s="49">
        <f t="shared" si="26"/>
        <v>0</v>
      </c>
      <c r="BF20" s="49">
        <f>SUBTOTAL(9,BF18:BF19)</f>
        <v>0</v>
      </c>
      <c r="BG20" s="49">
        <f t="shared" si="26"/>
        <v>0</v>
      </c>
      <c r="BH20" s="49">
        <f t="shared" si="26"/>
        <v>0</v>
      </c>
      <c r="BI20" s="49">
        <f t="shared" si="26"/>
        <v>0</v>
      </c>
      <c r="BJ20" s="49">
        <f t="shared" si="26"/>
        <v>0</v>
      </c>
      <c r="BK20" s="49">
        <f t="shared" si="26"/>
        <v>0</v>
      </c>
      <c r="BL20" s="49">
        <f t="shared" si="26"/>
        <v>0</v>
      </c>
      <c r="BM20" s="49">
        <f t="shared" si="26"/>
        <v>0</v>
      </c>
      <c r="BN20" s="49">
        <f t="shared" si="26"/>
        <v>0</v>
      </c>
      <c r="BO20" s="49">
        <f t="shared" si="26"/>
        <v>0</v>
      </c>
      <c r="BP20" s="49">
        <f t="shared" si="26"/>
        <v>0</v>
      </c>
      <c r="BQ20" s="49">
        <f t="shared" si="26"/>
        <v>0</v>
      </c>
      <c r="BR20" s="44">
        <f>SUBTOTAL(9,BR18:BR19)</f>
        <v>180</v>
      </c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7"/>
      <c r="CU20" s="167"/>
      <c r="CV20" s="167"/>
      <c r="CW20" s="167"/>
      <c r="CX20" s="167"/>
      <c r="CY20" s="167"/>
      <c r="CZ20" s="167"/>
      <c r="DA20" s="167"/>
      <c r="DB20" s="167"/>
      <c r="DC20" s="167"/>
      <c r="DD20" s="167"/>
      <c r="DE20" s="167"/>
      <c r="DF20" s="167"/>
      <c r="DG20" s="167"/>
      <c r="DH20" s="167"/>
      <c r="DI20" s="167"/>
      <c r="DJ20" s="167"/>
      <c r="DK20" s="167"/>
      <c r="DL20" s="167"/>
      <c r="DM20" s="167"/>
      <c r="DN20" s="167"/>
      <c r="DO20" s="167"/>
      <c r="DP20" s="167"/>
      <c r="DQ20" s="167"/>
      <c r="DR20" s="167"/>
      <c r="DS20" s="167"/>
      <c r="DT20" s="167"/>
      <c r="DU20" s="167"/>
    </row>
    <row r="21" spans="1:125">
      <c r="A21" s="175">
        <f>+A18+1</f>
        <v>43256</v>
      </c>
      <c r="B21" s="32" t="s">
        <v>43</v>
      </c>
      <c r="C21" s="33">
        <v>24833.42</v>
      </c>
      <c r="D21" s="34">
        <v>15637.27</v>
      </c>
      <c r="E21" s="34">
        <v>15640</v>
      </c>
      <c r="F21" s="171">
        <v>43256</v>
      </c>
      <c r="G21" s="33">
        <f>IF(E21-D21&lt;0,E21-D21,0)*-1</f>
        <v>0</v>
      </c>
      <c r="H21" s="33">
        <f>IF(E21-D21&gt;0,E21-D21,0)</f>
        <v>2.7299999999995634</v>
      </c>
      <c r="I21" s="34"/>
      <c r="J21" s="34"/>
      <c r="K21" s="34">
        <v>8981.83</v>
      </c>
      <c r="L21" s="34"/>
      <c r="M21" s="36">
        <f t="shared" si="11"/>
        <v>193.10934499999999</v>
      </c>
      <c r="N21" s="36">
        <f t="shared" si="12"/>
        <v>44.909150000000004</v>
      </c>
      <c r="O21" s="36">
        <f t="shared" si="13"/>
        <v>8743.8115049999997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>
        <v>79.5</v>
      </c>
      <c r="AA21" s="34"/>
      <c r="AB21" s="34"/>
      <c r="AC21" s="34">
        <v>134.82</v>
      </c>
      <c r="AD21" s="38"/>
      <c r="AE21" s="38"/>
      <c r="AF21" s="34">
        <v>1726.31</v>
      </c>
      <c r="AG21" s="33">
        <f>(AF21*0.8)*0.85</f>
        <v>1173.8907999999999</v>
      </c>
      <c r="AH21" s="33">
        <f>(AF21*0.8)*0.15</f>
        <v>207.15719999999999</v>
      </c>
      <c r="AI21" s="33">
        <f>AF21*0.2</f>
        <v>345.262</v>
      </c>
      <c r="AJ21" s="34">
        <v>0</v>
      </c>
      <c r="AK21" s="33">
        <f t="shared" ref="AK21" si="27">(C21-AF21-AJ21)/1.12</f>
        <v>20631.34821428571</v>
      </c>
      <c r="AL21" s="33">
        <f t="shared" ref="AL21" si="28">AK21-SUM(Y21:AC21)</f>
        <v>20417.02821428571</v>
      </c>
      <c r="AM21" s="33">
        <f t="shared" ref="AM21" si="29">+AL21*0.12</f>
        <v>2450.0433857142853</v>
      </c>
      <c r="AN21" s="33">
        <f t="shared" si="16"/>
        <v>22867.071599999996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>
      <c r="A22" s="176"/>
      <c r="B22" s="15" t="s">
        <v>44</v>
      </c>
      <c r="C22" s="33">
        <v>18344.3</v>
      </c>
      <c r="D22" s="34">
        <v>7574.29</v>
      </c>
      <c r="E22" s="34">
        <v>7575</v>
      </c>
      <c r="F22" s="171">
        <v>43257</v>
      </c>
      <c r="G22" s="33">
        <f>IF(E22-D22&lt;0,E22-D22,0)*-1</f>
        <v>0</v>
      </c>
      <c r="H22" s="33">
        <f>IF(E22-D22&gt;0,E22-D22,0)</f>
        <v>0.71000000000003638</v>
      </c>
      <c r="I22" s="34"/>
      <c r="J22" s="34"/>
      <c r="K22" s="34">
        <v>10418.91</v>
      </c>
      <c r="L22" s="34"/>
      <c r="M22" s="36">
        <f t="shared" si="11"/>
        <v>224.00656499999997</v>
      </c>
      <c r="N22" s="36">
        <f t="shared" si="12"/>
        <v>52.094549999999998</v>
      </c>
      <c r="O22" s="36">
        <f t="shared" si="13"/>
        <v>10142.808885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>
        <v>91.5</v>
      </c>
      <c r="AA22" s="34"/>
      <c r="AB22" s="34"/>
      <c r="AC22" s="34">
        <v>259.5</v>
      </c>
      <c r="AD22" s="38"/>
      <c r="AE22" s="38"/>
      <c r="AF22" s="34">
        <v>1485.06</v>
      </c>
      <c r="AG22" s="33">
        <f>(AF22*0.8)*0.85</f>
        <v>1009.8407999999999</v>
      </c>
      <c r="AH22" s="33">
        <f>(AF22*0.8)*0.15</f>
        <v>178.2072</v>
      </c>
      <c r="AI22" s="33">
        <f>AF22*0.2</f>
        <v>297.012</v>
      </c>
      <c r="AJ22" s="34">
        <v>0</v>
      </c>
      <c r="AK22" s="33">
        <f>(C22-AF22-AJ22)/1.12</f>
        <v>15052.892857142853</v>
      </c>
      <c r="AL22" s="33">
        <f>AK22-SUM(Y22:AC22)</f>
        <v>14701.892857142853</v>
      </c>
      <c r="AM22" s="33">
        <f>+AL22*0.12</f>
        <v>1764.2271428571423</v>
      </c>
      <c r="AN22" s="33">
        <f>+AM22+AL22+AJ22</f>
        <v>16466.119999999995</v>
      </c>
      <c r="AO22" s="39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3">
        <f>SUM(AO22:AY22)</f>
        <v>0</v>
      </c>
      <c r="BA22" s="38"/>
      <c r="BB22" s="38"/>
      <c r="BC22" s="33">
        <v>0</v>
      </c>
      <c r="BD22" s="33">
        <v>0</v>
      </c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41">
        <f>AZ22+BA22+BB22+BD22-BC22</f>
        <v>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.75" thickBot="1">
      <c r="A23" s="42"/>
      <c r="B23" s="43"/>
      <c r="C23" s="44">
        <f>SUBTOTAL(9,C21:C22)</f>
        <v>43177.72</v>
      </c>
      <c r="D23" s="45">
        <f>SUBTOTAL(9,D21:D22)</f>
        <v>23211.56</v>
      </c>
      <c r="E23" s="45">
        <f>SUBTOTAL(9,E21:E22)</f>
        <v>23215</v>
      </c>
      <c r="F23" s="172"/>
      <c r="G23" s="45">
        <f t="shared" ref="G23:P23" si="30">SUBTOTAL(9,G21:G22)</f>
        <v>0</v>
      </c>
      <c r="H23" s="45">
        <f t="shared" si="30"/>
        <v>3.4399999999995998</v>
      </c>
      <c r="I23" s="45">
        <f t="shared" si="30"/>
        <v>0</v>
      </c>
      <c r="J23" s="45">
        <f t="shared" si="30"/>
        <v>0</v>
      </c>
      <c r="K23" s="162">
        <f t="shared" si="30"/>
        <v>19400.739999999998</v>
      </c>
      <c r="L23" s="45">
        <f t="shared" si="30"/>
        <v>0</v>
      </c>
      <c r="M23" s="46">
        <f t="shared" si="30"/>
        <v>417.11590999999999</v>
      </c>
      <c r="N23" s="46">
        <f t="shared" si="30"/>
        <v>97.003700000000009</v>
      </c>
      <c r="O23" s="46">
        <f t="shared" si="30"/>
        <v>18886.62039</v>
      </c>
      <c r="P23" s="46">
        <f t="shared" si="30"/>
        <v>0</v>
      </c>
      <c r="Q23" s="47"/>
      <c r="R23" s="45">
        <f t="shared" ref="R23:BQ23" si="31">SUBTOTAL(9,R21:R22)</f>
        <v>0</v>
      </c>
      <c r="S23" s="45">
        <f t="shared" si="31"/>
        <v>0</v>
      </c>
      <c r="T23" s="46">
        <f t="shared" si="31"/>
        <v>0</v>
      </c>
      <c r="U23" s="46">
        <f t="shared" si="31"/>
        <v>0</v>
      </c>
      <c r="V23" s="46">
        <f t="shared" si="31"/>
        <v>0</v>
      </c>
      <c r="W23" s="46">
        <f t="shared" si="31"/>
        <v>0</v>
      </c>
      <c r="X23" s="47"/>
      <c r="Y23" s="45">
        <f>SUBTOTAL(9,Y21:Y22)</f>
        <v>0</v>
      </c>
      <c r="Z23" s="45"/>
      <c r="AA23" s="45"/>
      <c r="AB23" s="45"/>
      <c r="AC23" s="45"/>
      <c r="AD23" s="48"/>
      <c r="AE23" s="48"/>
      <c r="AF23" s="45"/>
      <c r="AG23" s="44">
        <f t="shared" si="31"/>
        <v>2183.7316000000001</v>
      </c>
      <c r="AH23" s="44">
        <f t="shared" si="31"/>
        <v>385.36439999999999</v>
      </c>
      <c r="AI23" s="44">
        <f t="shared" si="31"/>
        <v>642.274</v>
      </c>
      <c r="AJ23" s="45">
        <v>0</v>
      </c>
      <c r="AK23" s="44">
        <v>0</v>
      </c>
      <c r="AL23" s="44">
        <v>0</v>
      </c>
      <c r="AM23" s="44">
        <v>0</v>
      </c>
      <c r="AN23" s="44">
        <f t="shared" si="16"/>
        <v>0</v>
      </c>
      <c r="AO23" s="49">
        <f t="shared" si="31"/>
        <v>0</v>
      </c>
      <c r="AP23" s="49">
        <f t="shared" si="31"/>
        <v>0</v>
      </c>
      <c r="AQ23" s="49">
        <f t="shared" si="31"/>
        <v>0</v>
      </c>
      <c r="AR23" s="49">
        <f t="shared" si="31"/>
        <v>0</v>
      </c>
      <c r="AS23" s="49">
        <f t="shared" si="31"/>
        <v>0</v>
      </c>
      <c r="AT23" s="49">
        <f t="shared" si="31"/>
        <v>0</v>
      </c>
      <c r="AU23" s="49">
        <f>SUBTOTAL(9,AU21:AU22)</f>
        <v>0</v>
      </c>
      <c r="AV23" s="49">
        <f t="shared" si="31"/>
        <v>0</v>
      </c>
      <c r="AW23" s="49">
        <f t="shared" si="31"/>
        <v>0</v>
      </c>
      <c r="AX23" s="49">
        <f t="shared" si="31"/>
        <v>0</v>
      </c>
      <c r="AY23" s="49">
        <f t="shared" si="31"/>
        <v>0</v>
      </c>
      <c r="AZ23" s="44">
        <f t="shared" si="31"/>
        <v>0</v>
      </c>
      <c r="BA23" s="48"/>
      <c r="BB23" s="48">
        <f t="shared" si="31"/>
        <v>0</v>
      </c>
      <c r="BC23" s="44">
        <f t="shared" si="31"/>
        <v>0</v>
      </c>
      <c r="BD23" s="44">
        <f t="shared" si="31"/>
        <v>0</v>
      </c>
      <c r="BE23" s="49">
        <f t="shared" si="31"/>
        <v>0</v>
      </c>
      <c r="BF23" s="49">
        <f>SUBTOTAL(9,BF21:BF22)</f>
        <v>0</v>
      </c>
      <c r="BG23" s="49">
        <f t="shared" si="31"/>
        <v>0</v>
      </c>
      <c r="BH23" s="49">
        <f t="shared" si="31"/>
        <v>0</v>
      </c>
      <c r="BI23" s="49">
        <f t="shared" si="31"/>
        <v>0</v>
      </c>
      <c r="BJ23" s="49">
        <f t="shared" si="31"/>
        <v>0</v>
      </c>
      <c r="BK23" s="49">
        <f t="shared" si="31"/>
        <v>0</v>
      </c>
      <c r="BL23" s="49">
        <f t="shared" si="31"/>
        <v>0</v>
      </c>
      <c r="BM23" s="49">
        <f t="shared" si="31"/>
        <v>0</v>
      </c>
      <c r="BN23" s="49">
        <f t="shared" si="31"/>
        <v>0</v>
      </c>
      <c r="BO23" s="49">
        <f t="shared" si="31"/>
        <v>0</v>
      </c>
      <c r="BP23" s="49">
        <f t="shared" si="31"/>
        <v>0</v>
      </c>
      <c r="BQ23" s="49">
        <f t="shared" si="31"/>
        <v>0</v>
      </c>
      <c r="BR23" s="44">
        <f>SUBTOTAL(9,BR21:BR22)</f>
        <v>0</v>
      </c>
    </row>
    <row r="24" spans="1:125">
      <c r="A24" s="175">
        <f>A21+1</f>
        <v>43257</v>
      </c>
      <c r="B24" s="32" t="s">
        <v>43</v>
      </c>
      <c r="C24" s="33">
        <v>19487.13</v>
      </c>
      <c r="D24" s="34">
        <v>14520.14</v>
      </c>
      <c r="E24" s="34">
        <v>14520</v>
      </c>
      <c r="F24" s="171">
        <v>43257</v>
      </c>
      <c r="G24" s="33">
        <f>IF(E24-D24&lt;0,E24-D24,0)*-1</f>
        <v>0.13999999999941792</v>
      </c>
      <c r="H24" s="33">
        <f>IF(E24-D24&gt;0,E24-D24,0)</f>
        <v>0</v>
      </c>
      <c r="I24" s="34"/>
      <c r="J24" s="34"/>
      <c r="K24" s="34">
        <v>4580.46</v>
      </c>
      <c r="L24" s="34"/>
      <c r="M24" s="36">
        <f>(+K24)*M$5</f>
        <v>98.479889999999997</v>
      </c>
      <c r="N24" s="36">
        <f>(+K24)*N$5</f>
        <v>22.9023</v>
      </c>
      <c r="O24" s="36">
        <f>+K24-M24-N24+P24</f>
        <v>4459.0778100000007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>
        <f>18.5+271.6</f>
        <v>290.10000000000002</v>
      </c>
      <c r="AA24" s="34"/>
      <c r="AB24" s="34"/>
      <c r="AC24" s="34">
        <v>96.43</v>
      </c>
      <c r="AD24" s="38"/>
      <c r="AE24" s="38"/>
      <c r="AF24" s="34">
        <v>1481.99</v>
      </c>
      <c r="AG24" s="33">
        <f>(AF24*0.8)*0.85</f>
        <v>1007.7532000000001</v>
      </c>
      <c r="AH24" s="33">
        <f>(AF24*0.8)*0.15</f>
        <v>177.83880000000002</v>
      </c>
      <c r="AI24" s="33">
        <f>AF24*0.2</f>
        <v>296.39800000000002</v>
      </c>
      <c r="AJ24" s="34">
        <v>0</v>
      </c>
      <c r="AK24" s="33">
        <f>(C24-AF24-AJ24)/1.12</f>
        <v>16076.017857142855</v>
      </c>
      <c r="AL24" s="33">
        <f>AK24-SUM(Y24:AC24)</f>
        <v>15689.487857142854</v>
      </c>
      <c r="AM24" s="33">
        <f>+AL24*0.12</f>
        <v>1882.7385428571424</v>
      </c>
      <c r="AN24" s="33">
        <f>+AM24+AL24+AJ24</f>
        <v>17572.226399999996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thickBot="1">
      <c r="A25" s="176"/>
      <c r="B25" s="15" t="s">
        <v>44</v>
      </c>
      <c r="C25" s="33">
        <v>13601.44</v>
      </c>
      <c r="D25" s="34">
        <v>11190.81</v>
      </c>
      <c r="E25" s="34">
        <v>11190</v>
      </c>
      <c r="F25" s="171">
        <v>43258</v>
      </c>
      <c r="G25" s="33">
        <f>IF(E25-D25&lt;0,E25-D25,0)*-1</f>
        <v>0.80999999999949068</v>
      </c>
      <c r="H25" s="33">
        <f>IF(E25-D25&gt;0,E25-D25,0)</f>
        <v>0</v>
      </c>
      <c r="I25" s="34"/>
      <c r="J25" s="34"/>
      <c r="K25" s="34">
        <v>2348.13</v>
      </c>
      <c r="L25" s="34"/>
      <c r="M25" s="36">
        <f>(+K25)*M$5</f>
        <v>50.484794999999998</v>
      </c>
      <c r="N25" s="36">
        <f>(+K25)*N$5</f>
        <v>11.74065</v>
      </c>
      <c r="O25" s="36">
        <f>+K25-M25-N25+P25</f>
        <v>2285.9045550000001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>
        <v>62.5</v>
      </c>
      <c r="AD25" s="38"/>
      <c r="AE25" s="38"/>
      <c r="AF25" s="34">
        <v>983.94</v>
      </c>
      <c r="AG25" s="33">
        <f>(AF25*0.8)*0.85</f>
        <v>669.07920000000001</v>
      </c>
      <c r="AH25" s="33">
        <f>(AF25*0.8)*0.15</f>
        <v>118.0728</v>
      </c>
      <c r="AI25" s="33">
        <f>AF25*0.2</f>
        <v>196.78800000000001</v>
      </c>
      <c r="AJ25" s="34">
        <v>0</v>
      </c>
      <c r="AK25" s="33">
        <f>(C25-AF25-AJ25)/1.12</f>
        <v>11265.624999999998</v>
      </c>
      <c r="AL25" s="33">
        <f>AK25-SUM(Y25:AC25)</f>
        <v>11203.124999999998</v>
      </c>
      <c r="AM25" s="33">
        <f>+AL25*0.12</f>
        <v>1344.3749999999998</v>
      </c>
      <c r="AN25" s="33">
        <f>+AM25+AL25+AJ25</f>
        <v>12547.499999999998</v>
      </c>
      <c r="AO25" s="39">
        <v>245</v>
      </c>
      <c r="AP25" s="40"/>
      <c r="AQ25" s="40">
        <v>0</v>
      </c>
      <c r="AR25" s="40">
        <v>155</v>
      </c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>
      <c r="A26" s="42"/>
      <c r="B26" s="43"/>
      <c r="C26" s="44">
        <f>SUBTOTAL(9,C24:C25)</f>
        <v>33088.57</v>
      </c>
      <c r="D26" s="45">
        <f>SUBTOTAL(9,D24:D25)</f>
        <v>25710.949999999997</v>
      </c>
      <c r="E26" s="45">
        <f>SUBTOTAL(9,E24:E25)</f>
        <v>25710</v>
      </c>
      <c r="F26" s="172"/>
      <c r="G26" s="45">
        <f t="shared" ref="G26:P26" si="32">SUBTOTAL(9,G24:G25)</f>
        <v>0.94999999999890861</v>
      </c>
      <c r="H26" s="45">
        <f t="shared" si="32"/>
        <v>0</v>
      </c>
      <c r="I26" s="45">
        <f t="shared" si="32"/>
        <v>0</v>
      </c>
      <c r="J26" s="45">
        <f t="shared" si="32"/>
        <v>0</v>
      </c>
      <c r="K26" s="45"/>
      <c r="L26" s="45">
        <f t="shared" si="32"/>
        <v>0</v>
      </c>
      <c r="M26" s="46">
        <f t="shared" si="32"/>
        <v>148.964685</v>
      </c>
      <c r="N26" s="46">
        <f t="shared" si="32"/>
        <v>34.642949999999999</v>
      </c>
      <c r="O26" s="46">
        <f t="shared" si="32"/>
        <v>6744.9823650000008</v>
      </c>
      <c r="P26" s="46">
        <f t="shared" si="32"/>
        <v>0</v>
      </c>
      <c r="Q26" s="47"/>
      <c r="R26" s="45">
        <f t="shared" ref="R26:BQ26" si="33">SUBTOTAL(9,R24:R25)</f>
        <v>0</v>
      </c>
      <c r="S26" s="45">
        <f t="shared" si="33"/>
        <v>0</v>
      </c>
      <c r="T26" s="46">
        <f t="shared" si="33"/>
        <v>0</v>
      </c>
      <c r="U26" s="46">
        <f t="shared" si="33"/>
        <v>0</v>
      </c>
      <c r="V26" s="46">
        <f t="shared" si="33"/>
        <v>0</v>
      </c>
      <c r="W26" s="46">
        <f t="shared" si="33"/>
        <v>0</v>
      </c>
      <c r="X26" s="47"/>
      <c r="Y26" s="45">
        <f>SUBTOTAL(9,Y24:Y25)</f>
        <v>0</v>
      </c>
      <c r="Z26" s="45"/>
      <c r="AA26" s="45"/>
      <c r="AB26" s="45"/>
      <c r="AC26" s="45"/>
      <c r="AD26" s="48"/>
      <c r="AE26" s="48"/>
      <c r="AF26" s="45"/>
      <c r="AG26" s="44">
        <f t="shared" si="33"/>
        <v>1676.8324000000002</v>
      </c>
      <c r="AH26" s="44">
        <f t="shared" si="33"/>
        <v>295.91160000000002</v>
      </c>
      <c r="AI26" s="44">
        <f t="shared" si="33"/>
        <v>493.18600000000004</v>
      </c>
      <c r="AJ26" s="45">
        <v>0</v>
      </c>
      <c r="AK26" s="44">
        <f t="shared" si="33"/>
        <v>27341.642857142855</v>
      </c>
      <c r="AL26" s="44">
        <f t="shared" si="33"/>
        <v>26892.612857142853</v>
      </c>
      <c r="AM26" s="44">
        <f t="shared" si="33"/>
        <v>3227.1135428571424</v>
      </c>
      <c r="AN26" s="44">
        <f t="shared" si="16"/>
        <v>30119.726399999996</v>
      </c>
      <c r="AO26" s="49">
        <f t="shared" si="33"/>
        <v>245</v>
      </c>
      <c r="AP26" s="49">
        <f t="shared" si="33"/>
        <v>0</v>
      </c>
      <c r="AQ26" s="49">
        <f t="shared" si="33"/>
        <v>0</v>
      </c>
      <c r="AR26" s="49">
        <f t="shared" si="33"/>
        <v>155</v>
      </c>
      <c r="AS26" s="49">
        <f t="shared" si="33"/>
        <v>0</v>
      </c>
      <c r="AT26" s="49">
        <f t="shared" si="33"/>
        <v>0</v>
      </c>
      <c r="AU26" s="49">
        <f>SUBTOTAL(9,AU24:AU25)</f>
        <v>0</v>
      </c>
      <c r="AV26" s="49">
        <f t="shared" si="33"/>
        <v>0</v>
      </c>
      <c r="AW26" s="49">
        <f t="shared" si="33"/>
        <v>0</v>
      </c>
      <c r="AX26" s="49">
        <f t="shared" si="33"/>
        <v>0</v>
      </c>
      <c r="AY26" s="49">
        <f t="shared" si="33"/>
        <v>0</v>
      </c>
      <c r="AZ26" s="44">
        <f t="shared" si="33"/>
        <v>0</v>
      </c>
      <c r="BA26" s="48">
        <f t="shared" si="33"/>
        <v>0</v>
      </c>
      <c r="BB26" s="48">
        <f t="shared" si="33"/>
        <v>0</v>
      </c>
      <c r="BC26" s="44">
        <f t="shared" si="33"/>
        <v>0</v>
      </c>
      <c r="BD26" s="44">
        <f t="shared" si="33"/>
        <v>0</v>
      </c>
      <c r="BE26" s="49">
        <f t="shared" si="33"/>
        <v>0</v>
      </c>
      <c r="BF26" s="49">
        <f>SUBTOTAL(9,BF24:BF25)</f>
        <v>0</v>
      </c>
      <c r="BG26" s="49">
        <f t="shared" si="33"/>
        <v>0</v>
      </c>
      <c r="BH26" s="49">
        <f t="shared" si="33"/>
        <v>0</v>
      </c>
      <c r="BI26" s="49">
        <f t="shared" si="33"/>
        <v>0</v>
      </c>
      <c r="BJ26" s="49">
        <f t="shared" si="33"/>
        <v>0</v>
      </c>
      <c r="BK26" s="49">
        <f t="shared" si="33"/>
        <v>0</v>
      </c>
      <c r="BL26" s="49">
        <f t="shared" si="33"/>
        <v>0</v>
      </c>
      <c r="BM26" s="49">
        <f t="shared" si="33"/>
        <v>0</v>
      </c>
      <c r="BN26" s="49">
        <f t="shared" si="33"/>
        <v>0</v>
      </c>
      <c r="BO26" s="49">
        <f t="shared" si="33"/>
        <v>0</v>
      </c>
      <c r="BP26" s="49">
        <f t="shared" si="33"/>
        <v>0</v>
      </c>
      <c r="BQ26" s="49">
        <f t="shared" si="33"/>
        <v>0</v>
      </c>
      <c r="BR26" s="44">
        <f>SUBTOTAL(9,BR24:BR25)</f>
        <v>0</v>
      </c>
    </row>
    <row r="27" spans="1:125">
      <c r="A27" s="175">
        <f>+A24+1</f>
        <v>43258</v>
      </c>
      <c r="B27" s="32" t="s">
        <v>43</v>
      </c>
      <c r="C27" s="33">
        <v>25037.759999999998</v>
      </c>
      <c r="D27" s="34">
        <v>14791.67</v>
      </c>
      <c r="E27" s="34">
        <v>14792</v>
      </c>
      <c r="F27" s="171">
        <v>43258</v>
      </c>
      <c r="G27" s="33">
        <f>IF(E27-D27&lt;0,E27-D27,0)*-1</f>
        <v>0</v>
      </c>
      <c r="H27" s="33">
        <f>IF(E27-D27&gt;0,E27-D27,0)</f>
        <v>0.32999999999992724</v>
      </c>
      <c r="I27" s="34"/>
      <c r="J27" s="34"/>
      <c r="K27" s="34">
        <v>9690.58</v>
      </c>
      <c r="L27" s="34"/>
      <c r="M27" s="36">
        <f>(+K27)*M$5</f>
        <v>208.34746999999999</v>
      </c>
      <c r="N27" s="36">
        <f>(+K27)*N$5</f>
        <v>48.4529</v>
      </c>
      <c r="O27" s="36">
        <f>+K27-M27-N27+P27</f>
        <v>9433.7796299999991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41.4</v>
      </c>
      <c r="AA27" s="34"/>
      <c r="AB27" s="34"/>
      <c r="AC27" s="34">
        <v>514.11</v>
      </c>
      <c r="AD27" s="38"/>
      <c r="AE27" s="38"/>
      <c r="AF27" s="34">
        <v>1927.23</v>
      </c>
      <c r="AG27" s="33">
        <f>(AF27*0.8)*0.85</f>
        <v>1310.5164</v>
      </c>
      <c r="AH27" s="33">
        <f>(AF27*0.8)*0.15</f>
        <v>231.26760000000002</v>
      </c>
      <c r="AI27" s="33">
        <f>AF27*0.2</f>
        <v>385.44600000000003</v>
      </c>
      <c r="AJ27" s="34">
        <v>0</v>
      </c>
      <c r="AK27" s="33">
        <f t="shared" ref="AK27" si="34">(C27-AF27-AJ27)/1.12</f>
        <v>20634.401785714283</v>
      </c>
      <c r="AL27" s="33">
        <f t="shared" ref="AL27" si="35">AK27-SUM(Y27:AC27)</f>
        <v>20078.891785714284</v>
      </c>
      <c r="AM27" s="33">
        <f t="shared" ref="AM27" si="36">+AL27*0.12</f>
        <v>2409.467014285714</v>
      </c>
      <c r="AN27" s="33">
        <f t="shared" si="16"/>
        <v>22488.358799999998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>
      <c r="A28" s="176"/>
      <c r="B28" s="15" t="s">
        <v>44</v>
      </c>
      <c r="C28" s="33">
        <v>12638.01</v>
      </c>
      <c r="D28" s="34">
        <v>9581.85</v>
      </c>
      <c r="E28" s="34">
        <v>9581.5</v>
      </c>
      <c r="F28" s="171">
        <v>43259</v>
      </c>
      <c r="G28" s="33">
        <f>IF(E28-D28&lt;0,E28-D28,0)*-1</f>
        <v>0.3500000000003638</v>
      </c>
      <c r="H28" s="33">
        <f>IF(E28-D28&gt;0,E28-D28,0)</f>
        <v>0</v>
      </c>
      <c r="I28" s="34"/>
      <c r="J28" s="34"/>
      <c r="K28" s="34">
        <v>3017.32</v>
      </c>
      <c r="L28" s="34"/>
      <c r="M28" s="36">
        <f>(+K28)*M$5</f>
        <v>64.872379999999993</v>
      </c>
      <c r="N28" s="36">
        <f>(+K28)*N$5</f>
        <v>15.086600000000001</v>
      </c>
      <c r="O28" s="36">
        <f>+K28-M28-N28+P28</f>
        <v>2937.3610200000003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/>
      <c r="AA28" s="34"/>
      <c r="AB28" s="34"/>
      <c r="AC28" s="34">
        <v>38.840000000000003</v>
      </c>
      <c r="AD28" s="38"/>
      <c r="AE28" s="38"/>
      <c r="AF28" s="34">
        <v>961.31</v>
      </c>
      <c r="AG28" s="33">
        <f>(AF28*0.8)*0.85</f>
        <v>653.69079999999997</v>
      </c>
      <c r="AH28" s="33">
        <f>(AF28*0.8)*0.15</f>
        <v>115.35719999999999</v>
      </c>
      <c r="AI28" s="33">
        <f>AF28*0.2</f>
        <v>192.262</v>
      </c>
      <c r="AJ28" s="34">
        <v>0</v>
      </c>
      <c r="AK28" s="33">
        <f>(C28-AF28-AJ28)/1.12</f>
        <v>10425.625</v>
      </c>
      <c r="AL28" s="33">
        <f>AK28-SUM(Y28:AC28)</f>
        <v>10386.785</v>
      </c>
      <c r="AM28" s="33">
        <f>+AL28*0.12</f>
        <v>1246.4141999999999</v>
      </c>
      <c r="AN28" s="33">
        <f>+AM28+AL28+AJ28</f>
        <v>11633.199199999999</v>
      </c>
      <c r="AO28" s="39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0</v>
      </c>
      <c r="BA28" s="38"/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0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thickBot="1">
      <c r="A29" s="42"/>
      <c r="B29" s="43"/>
      <c r="C29" s="44">
        <f>SUBTOTAL(9,C27:C28)</f>
        <v>37675.769999999997</v>
      </c>
      <c r="D29" s="45">
        <f>SUBTOTAL(9,D27:D28)</f>
        <v>24373.52</v>
      </c>
      <c r="E29" s="45">
        <f>SUBTOTAL(9,E27:E28)</f>
        <v>24373.5</v>
      </c>
      <c r="F29" s="172"/>
      <c r="G29" s="45">
        <f t="shared" ref="G29:P29" si="37">SUBTOTAL(9,G27:G28)</f>
        <v>0.3500000000003638</v>
      </c>
      <c r="H29" s="45">
        <f t="shared" si="37"/>
        <v>0.32999999999992724</v>
      </c>
      <c r="I29" s="45">
        <f t="shared" si="37"/>
        <v>0</v>
      </c>
      <c r="J29" s="45">
        <f t="shared" si="37"/>
        <v>0</v>
      </c>
      <c r="K29" s="162">
        <f t="shared" si="37"/>
        <v>12707.9</v>
      </c>
      <c r="L29" s="45">
        <f t="shared" si="37"/>
        <v>0</v>
      </c>
      <c r="M29" s="46">
        <f t="shared" si="37"/>
        <v>273.21984999999995</v>
      </c>
      <c r="N29" s="46">
        <f t="shared" si="37"/>
        <v>63.539500000000004</v>
      </c>
      <c r="O29" s="46">
        <f t="shared" si="37"/>
        <v>12371.140649999999</v>
      </c>
      <c r="P29" s="46">
        <f t="shared" si="37"/>
        <v>0</v>
      </c>
      <c r="Q29" s="47"/>
      <c r="R29" s="45">
        <f t="shared" ref="R29:BQ29" si="38">SUBTOTAL(9,R27:R28)</f>
        <v>0</v>
      </c>
      <c r="S29" s="45">
        <f t="shared" si="38"/>
        <v>0</v>
      </c>
      <c r="T29" s="46">
        <f t="shared" si="38"/>
        <v>0</v>
      </c>
      <c r="U29" s="46">
        <f t="shared" si="38"/>
        <v>0</v>
      </c>
      <c r="V29" s="46">
        <f t="shared" si="38"/>
        <v>0</v>
      </c>
      <c r="W29" s="46">
        <f t="shared" si="38"/>
        <v>0</v>
      </c>
      <c r="X29" s="47"/>
      <c r="Y29" s="45">
        <f>SUBTOTAL(9,Y27:Y28)</f>
        <v>0</v>
      </c>
      <c r="Z29" s="45"/>
      <c r="AA29" s="45"/>
      <c r="AB29" s="45"/>
      <c r="AC29" s="45"/>
      <c r="AD29" s="48"/>
      <c r="AE29" s="48"/>
      <c r="AF29" s="45"/>
      <c r="AG29" s="44">
        <f t="shared" si="38"/>
        <v>1964.2071999999998</v>
      </c>
      <c r="AH29" s="44">
        <f t="shared" si="38"/>
        <v>346.62479999999999</v>
      </c>
      <c r="AI29" s="44">
        <f t="shared" si="38"/>
        <v>577.70800000000008</v>
      </c>
      <c r="AJ29" s="45">
        <f t="shared" si="38"/>
        <v>0</v>
      </c>
      <c r="AK29" s="44">
        <f t="shared" si="38"/>
        <v>31060.026785714283</v>
      </c>
      <c r="AL29" s="44">
        <f t="shared" si="38"/>
        <v>30465.676785714284</v>
      </c>
      <c r="AM29" s="44">
        <f t="shared" si="38"/>
        <v>3655.8812142857141</v>
      </c>
      <c r="AN29" s="44">
        <f t="shared" si="16"/>
        <v>34121.557999999997</v>
      </c>
      <c r="AO29" s="49">
        <f t="shared" si="38"/>
        <v>0</v>
      </c>
      <c r="AP29" s="49">
        <f t="shared" si="38"/>
        <v>0</v>
      </c>
      <c r="AQ29" s="49">
        <f t="shared" si="38"/>
        <v>0</v>
      </c>
      <c r="AR29" s="49">
        <f t="shared" si="38"/>
        <v>0</v>
      </c>
      <c r="AS29" s="49">
        <f t="shared" si="38"/>
        <v>0</v>
      </c>
      <c r="AT29" s="49">
        <f t="shared" si="38"/>
        <v>0</v>
      </c>
      <c r="AU29" s="49">
        <f>SUBTOTAL(9,AU27:AU28)</f>
        <v>0</v>
      </c>
      <c r="AV29" s="49">
        <f t="shared" si="38"/>
        <v>0</v>
      </c>
      <c r="AW29" s="49">
        <f t="shared" si="38"/>
        <v>0</v>
      </c>
      <c r="AX29" s="49">
        <f t="shared" si="38"/>
        <v>0</v>
      </c>
      <c r="AY29" s="49">
        <f t="shared" si="38"/>
        <v>0</v>
      </c>
      <c r="AZ29" s="44">
        <f t="shared" si="38"/>
        <v>0</v>
      </c>
      <c r="BA29" s="48">
        <f t="shared" si="38"/>
        <v>0</v>
      </c>
      <c r="BB29" s="48">
        <f t="shared" si="38"/>
        <v>0</v>
      </c>
      <c r="BC29" s="44">
        <f t="shared" si="38"/>
        <v>0</v>
      </c>
      <c r="BD29" s="44">
        <f t="shared" si="38"/>
        <v>0</v>
      </c>
      <c r="BE29" s="49">
        <f t="shared" si="38"/>
        <v>0</v>
      </c>
      <c r="BF29" s="49">
        <f>SUBTOTAL(9,BF27:BF28)</f>
        <v>0</v>
      </c>
      <c r="BG29" s="49">
        <f t="shared" si="38"/>
        <v>0</v>
      </c>
      <c r="BH29" s="49">
        <f t="shared" si="38"/>
        <v>0</v>
      </c>
      <c r="BI29" s="49">
        <f t="shared" si="38"/>
        <v>0</v>
      </c>
      <c r="BJ29" s="49">
        <f t="shared" si="38"/>
        <v>0</v>
      </c>
      <c r="BK29" s="49">
        <f t="shared" si="38"/>
        <v>0</v>
      </c>
      <c r="BL29" s="49">
        <f t="shared" si="38"/>
        <v>0</v>
      </c>
      <c r="BM29" s="49">
        <f t="shared" si="38"/>
        <v>0</v>
      </c>
      <c r="BN29" s="49">
        <f t="shared" si="38"/>
        <v>0</v>
      </c>
      <c r="BO29" s="49">
        <f t="shared" si="38"/>
        <v>0</v>
      </c>
      <c r="BP29" s="49">
        <f t="shared" si="38"/>
        <v>0</v>
      </c>
      <c r="BQ29" s="49">
        <f t="shared" si="38"/>
        <v>0</v>
      </c>
      <c r="BR29" s="44">
        <f>SUBTOTAL(9,BR27:BR28)</f>
        <v>0</v>
      </c>
    </row>
    <row r="30" spans="1:125">
      <c r="A30" s="175">
        <f>+A27+1</f>
        <v>43259</v>
      </c>
      <c r="B30" s="32" t="s">
        <v>43</v>
      </c>
      <c r="C30" s="33">
        <v>23606.14</v>
      </c>
      <c r="D30" s="34">
        <v>20082.11</v>
      </c>
      <c r="E30" s="34">
        <v>20083</v>
      </c>
      <c r="F30" s="171">
        <v>43259</v>
      </c>
      <c r="G30" s="33">
        <f>IF(E30-D30&lt;0,E30-D30,0)*-1</f>
        <v>0</v>
      </c>
      <c r="H30" s="33">
        <f>IF(E30-D30&gt;0,E30-D30,0)</f>
        <v>0.88999999999941792</v>
      </c>
      <c r="I30" s="34"/>
      <c r="J30" s="34"/>
      <c r="K30" s="34">
        <v>3120.54</v>
      </c>
      <c r="L30" s="34"/>
      <c r="M30" s="36">
        <f>(+K30)*M$5</f>
        <v>67.091609999999989</v>
      </c>
      <c r="N30" s="36">
        <f>(+K30)*N$5</f>
        <v>15.6027</v>
      </c>
      <c r="O30" s="36">
        <f>+K30-M30-N30+P30</f>
        <v>3037.8456900000001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84.75</v>
      </c>
      <c r="AA30" s="34"/>
      <c r="AB30" s="34"/>
      <c r="AC30" s="34">
        <v>318.74</v>
      </c>
      <c r="AD30" s="38"/>
      <c r="AE30" s="38"/>
      <c r="AF30" s="34">
        <v>1779.4</v>
      </c>
      <c r="AG30" s="33">
        <f>(AF30*0.8)*0.85</f>
        <v>1209.9920000000002</v>
      </c>
      <c r="AH30" s="33">
        <f>(AF30*0.8)*0.15</f>
        <v>213.52800000000002</v>
      </c>
      <c r="AI30" s="33">
        <f>AF30*0.2</f>
        <v>355.88000000000005</v>
      </c>
      <c r="AJ30" s="34">
        <v>0</v>
      </c>
      <c r="AK30" s="33">
        <f t="shared" ref="AK30:AK31" si="39">(C30-AF30-AJ30)/1.12</f>
        <v>19488.16071428571</v>
      </c>
      <c r="AL30" s="33">
        <f t="shared" ref="AL30:AL31" si="40">AK30-SUM(Y30:AC30)</f>
        <v>19084.670714285709</v>
      </c>
      <c r="AM30" s="33">
        <f t="shared" ref="AM30:AM31" si="41">+AL30*0.12</f>
        <v>2290.1604857142847</v>
      </c>
      <c r="AN30" s="33">
        <f t="shared" ref="AN30:AN31" si="42">+AM30+AL30+AJ30</f>
        <v>21374.831199999993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>
      <c r="A31" s="176"/>
      <c r="B31" s="15" t="s">
        <v>44</v>
      </c>
      <c r="C31" s="33">
        <v>55344.68</v>
      </c>
      <c r="D31" s="34">
        <v>9723.39</v>
      </c>
      <c r="E31" s="34">
        <v>9725</v>
      </c>
      <c r="F31" s="171">
        <v>43262</v>
      </c>
      <c r="G31" s="33">
        <f>IF(E31-D31&lt;0,E31-D31,0)*-1</f>
        <v>0</v>
      </c>
      <c r="H31" s="33">
        <f>IF(E31-D31&gt;0,E31-D31,0)</f>
        <v>1.6100000000005821</v>
      </c>
      <c r="I31" s="34"/>
      <c r="J31" s="34"/>
      <c r="K31" s="34">
        <v>45497.11</v>
      </c>
      <c r="L31" s="34"/>
      <c r="M31" s="36">
        <f>(+K31)*M$5</f>
        <v>978.18786499999999</v>
      </c>
      <c r="N31" s="36">
        <f>(+K31)*N$5</f>
        <v>227.48555000000002</v>
      </c>
      <c r="O31" s="36">
        <f>+K31-M31-N31+P31</f>
        <v>44291.436585000003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>
        <v>46.5</v>
      </c>
      <c r="AA31" s="34"/>
      <c r="AB31" s="34"/>
      <c r="AC31" s="34">
        <v>77.680000000000007</v>
      </c>
      <c r="AD31" s="38"/>
      <c r="AE31" s="38"/>
      <c r="AF31" s="34">
        <v>4422</v>
      </c>
      <c r="AG31" s="33">
        <f>(AF31*0.8)*0.85</f>
        <v>3006.96</v>
      </c>
      <c r="AH31" s="33">
        <f>(AF31*0.8)*0.15</f>
        <v>530.64</v>
      </c>
      <c r="AI31" s="33">
        <f>AF31*0.2</f>
        <v>884.40000000000009</v>
      </c>
      <c r="AJ31" s="34">
        <v>0</v>
      </c>
      <c r="AK31" s="33">
        <f t="shared" si="39"/>
        <v>45466.678571428565</v>
      </c>
      <c r="AL31" s="33">
        <f t="shared" si="40"/>
        <v>45342.498571428565</v>
      </c>
      <c r="AM31" s="33">
        <f t="shared" si="41"/>
        <v>5441.0998285714277</v>
      </c>
      <c r="AN31" s="33">
        <f t="shared" si="42"/>
        <v>50783.598399999995</v>
      </c>
      <c r="AO31" s="39">
        <v>195</v>
      </c>
      <c r="AP31" s="40">
        <v>250</v>
      </c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445</v>
      </c>
      <c r="BA31" s="38">
        <v>60</v>
      </c>
      <c r="BB31" s="38">
        <v>0</v>
      </c>
      <c r="BC31" s="33">
        <v>0</v>
      </c>
      <c r="BD31" s="33">
        <v>0</v>
      </c>
      <c r="BE31" s="39"/>
      <c r="BF31" s="39">
        <v>0</v>
      </c>
      <c r="BG31" s="39">
        <v>185</v>
      </c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505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>
      <c r="A32" s="42"/>
      <c r="B32" s="43"/>
      <c r="C32" s="44">
        <f>SUBTOTAL(9,C30:C31)</f>
        <v>78950.820000000007</v>
      </c>
      <c r="D32" s="45">
        <f>SUBTOTAL(9,D30:D31)</f>
        <v>29805.5</v>
      </c>
      <c r="E32" s="45">
        <f>SUBTOTAL(9,E30:E31)</f>
        <v>29808</v>
      </c>
      <c r="F32" s="172"/>
      <c r="G32" s="45">
        <f t="shared" ref="G32:P32" si="43">SUBTOTAL(9,G30:G31)</f>
        <v>0</v>
      </c>
      <c r="H32" s="45">
        <f t="shared" si="43"/>
        <v>2.5</v>
      </c>
      <c r="I32" s="45">
        <f t="shared" si="43"/>
        <v>0</v>
      </c>
      <c r="J32" s="45">
        <f t="shared" si="43"/>
        <v>0</v>
      </c>
      <c r="K32" s="162">
        <f t="shared" si="43"/>
        <v>48617.65</v>
      </c>
      <c r="L32" s="45">
        <f t="shared" si="43"/>
        <v>0</v>
      </c>
      <c r="M32" s="46">
        <f t="shared" si="43"/>
        <v>1045.279475</v>
      </c>
      <c r="N32" s="46">
        <f t="shared" si="43"/>
        <v>243.08825000000002</v>
      </c>
      <c r="O32" s="46">
        <f t="shared" si="43"/>
        <v>47329.282275000005</v>
      </c>
      <c r="P32" s="46">
        <f t="shared" si="43"/>
        <v>0</v>
      </c>
      <c r="Q32" s="47"/>
      <c r="R32" s="45">
        <f t="shared" ref="R32:BQ32" si="44">SUBTOTAL(9,R30:R31)</f>
        <v>0</v>
      </c>
      <c r="S32" s="45">
        <f t="shared" si="44"/>
        <v>0</v>
      </c>
      <c r="T32" s="46">
        <f t="shared" si="44"/>
        <v>0</v>
      </c>
      <c r="U32" s="46">
        <f t="shared" si="44"/>
        <v>0</v>
      </c>
      <c r="V32" s="46">
        <f t="shared" si="44"/>
        <v>0</v>
      </c>
      <c r="W32" s="46">
        <f t="shared" si="44"/>
        <v>0</v>
      </c>
      <c r="X32" s="47"/>
      <c r="Y32" s="45">
        <f>SUBTOTAL(9,Y30:Y31)</f>
        <v>0</v>
      </c>
      <c r="Z32" s="45"/>
      <c r="AA32" s="45"/>
      <c r="AB32" s="45"/>
      <c r="AC32" s="45"/>
      <c r="AD32" s="48"/>
      <c r="AE32" s="48"/>
      <c r="AF32" s="45"/>
      <c r="AG32" s="44">
        <f t="shared" si="44"/>
        <v>4216.9520000000002</v>
      </c>
      <c r="AH32" s="44">
        <f t="shared" si="44"/>
        <v>744.16800000000001</v>
      </c>
      <c r="AI32" s="44">
        <f t="shared" si="44"/>
        <v>1240.2800000000002</v>
      </c>
      <c r="AJ32" s="45">
        <f t="shared" si="44"/>
        <v>0</v>
      </c>
      <c r="AK32" s="44">
        <f t="shared" si="44"/>
        <v>64954.839285714275</v>
      </c>
      <c r="AL32" s="44">
        <f t="shared" si="44"/>
        <v>64427.169285714277</v>
      </c>
      <c r="AM32" s="44">
        <f t="shared" si="44"/>
        <v>7731.2603142857124</v>
      </c>
      <c r="AN32" s="44">
        <f t="shared" si="16"/>
        <v>72158.429599999989</v>
      </c>
      <c r="AO32" s="49">
        <f t="shared" si="44"/>
        <v>195</v>
      </c>
      <c r="AP32" s="49">
        <f t="shared" si="44"/>
        <v>250</v>
      </c>
      <c r="AQ32" s="49">
        <f t="shared" si="44"/>
        <v>0</v>
      </c>
      <c r="AR32" s="49">
        <f t="shared" si="44"/>
        <v>0</v>
      </c>
      <c r="AS32" s="49">
        <f t="shared" si="44"/>
        <v>0</v>
      </c>
      <c r="AT32" s="49">
        <f t="shared" si="44"/>
        <v>0</v>
      </c>
      <c r="AU32" s="49">
        <f>SUBTOTAL(9,AU30:AU31)</f>
        <v>0</v>
      </c>
      <c r="AV32" s="49">
        <f t="shared" si="44"/>
        <v>0</v>
      </c>
      <c r="AW32" s="49">
        <f t="shared" si="44"/>
        <v>0</v>
      </c>
      <c r="AX32" s="49">
        <f t="shared" si="44"/>
        <v>0</v>
      </c>
      <c r="AY32" s="49">
        <f t="shared" si="44"/>
        <v>0</v>
      </c>
      <c r="AZ32" s="44">
        <f t="shared" si="44"/>
        <v>445</v>
      </c>
      <c r="BA32" s="48">
        <f t="shared" si="44"/>
        <v>60</v>
      </c>
      <c r="BB32" s="48">
        <f t="shared" si="44"/>
        <v>0</v>
      </c>
      <c r="BC32" s="44">
        <f t="shared" si="44"/>
        <v>0</v>
      </c>
      <c r="BD32" s="44">
        <f t="shared" si="44"/>
        <v>0</v>
      </c>
      <c r="BE32" s="49">
        <f t="shared" si="44"/>
        <v>0</v>
      </c>
      <c r="BF32" s="49">
        <f>SUBTOTAL(9,BF30:BF31)</f>
        <v>0</v>
      </c>
      <c r="BG32" s="49">
        <f t="shared" si="44"/>
        <v>185</v>
      </c>
      <c r="BH32" s="49">
        <f t="shared" si="44"/>
        <v>0</v>
      </c>
      <c r="BI32" s="49">
        <f t="shared" si="44"/>
        <v>0</v>
      </c>
      <c r="BJ32" s="49">
        <f t="shared" si="44"/>
        <v>0</v>
      </c>
      <c r="BK32" s="49">
        <f t="shared" si="44"/>
        <v>0</v>
      </c>
      <c r="BL32" s="49">
        <f t="shared" si="44"/>
        <v>0</v>
      </c>
      <c r="BM32" s="49">
        <f t="shared" si="44"/>
        <v>0</v>
      </c>
      <c r="BN32" s="49">
        <f t="shared" si="44"/>
        <v>0</v>
      </c>
      <c r="BO32" s="49">
        <f t="shared" si="44"/>
        <v>0</v>
      </c>
      <c r="BP32" s="49">
        <f t="shared" si="44"/>
        <v>0</v>
      </c>
      <c r="BQ32" s="49">
        <f t="shared" si="44"/>
        <v>0</v>
      </c>
      <c r="BR32" s="44">
        <f>SUBTOTAL(9,BR30:BR31)</f>
        <v>505</v>
      </c>
    </row>
    <row r="33" spans="1:125">
      <c r="A33" s="175">
        <f>+A30+1</f>
        <v>43260</v>
      </c>
      <c r="B33" s="32" t="s">
        <v>43</v>
      </c>
      <c r="C33" s="33" t="s">
        <v>155</v>
      </c>
      <c r="D33" s="34"/>
      <c r="E33" s="34"/>
      <c r="F33" s="171"/>
      <c r="G33" s="33">
        <f>IF(E33-D33&lt;0,E33-D33,0)*-1</f>
        <v>0</v>
      </c>
      <c r="H33" s="33">
        <f>IF(E33-D33&gt;0,E33-D33,0)</f>
        <v>0</v>
      </c>
      <c r="I33" s="34"/>
      <c r="J33" s="34"/>
      <c r="K33" s="34"/>
      <c r="L33" s="34"/>
      <c r="M33" s="36">
        <f>(+K33)*M$5</f>
        <v>0</v>
      </c>
      <c r="N33" s="36">
        <f>(+K33)*N$5</f>
        <v>0</v>
      </c>
      <c r="O33" s="36">
        <f>+K33-M33-N33+P33</f>
        <v>0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/>
      <c r="AA33" s="34"/>
      <c r="AB33" s="34"/>
      <c r="AC33" s="34"/>
      <c r="AD33" s="38"/>
      <c r="AE33" s="38"/>
      <c r="AF33" s="34"/>
      <c r="AG33" s="33">
        <f>(AF33*0.8)*0.85</f>
        <v>0</v>
      </c>
      <c r="AH33" s="33">
        <f>(AF33*0.8)*0.15</f>
        <v>0</v>
      </c>
      <c r="AI33" s="33">
        <f>AF33*0.2</f>
        <v>0</v>
      </c>
      <c r="AJ33" s="34"/>
      <c r="AK33" s="33">
        <v>0</v>
      </c>
      <c r="AL33" s="33">
        <f t="shared" ref="AL33" si="45">AK33-SUM(Y33:AC33)</f>
        <v>0</v>
      </c>
      <c r="AM33" s="33">
        <f t="shared" ref="AM33" si="46">+AL33*0.12</f>
        <v>0</v>
      </c>
      <c r="AN33" s="33">
        <f t="shared" si="16"/>
        <v>0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>
      <c r="A34" s="176"/>
      <c r="B34" s="15" t="s">
        <v>44</v>
      </c>
      <c r="C34" s="33">
        <v>5216.1899999999996</v>
      </c>
      <c r="D34" s="34">
        <v>4615.4799999999996</v>
      </c>
      <c r="E34" s="34">
        <v>4615</v>
      </c>
      <c r="F34" s="171">
        <v>43262</v>
      </c>
      <c r="G34" s="33">
        <f>IF(E34-D34&lt;0,E34-D34,0)*-1</f>
        <v>0.47999999999956344</v>
      </c>
      <c r="H34" s="33">
        <f>IF(E34-D34&gt;0,E34-D34,0)</f>
        <v>0</v>
      </c>
      <c r="I34" s="34">
        <v>200</v>
      </c>
      <c r="J34" s="34"/>
      <c r="K34" s="34">
        <v>435.71</v>
      </c>
      <c r="L34" s="34"/>
      <c r="M34" s="36">
        <f>(+K34)*M$5</f>
        <v>9.3677649999999986</v>
      </c>
      <c r="N34" s="36">
        <f>(+K34)*N$5</f>
        <v>2.17855</v>
      </c>
      <c r="O34" s="36">
        <f>+K34-M34-N34+P34</f>
        <v>424.16368499999999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/>
      <c r="AD34" s="38"/>
      <c r="AE34" s="38"/>
      <c r="AF34" s="34">
        <v>345.19</v>
      </c>
      <c r="AG34" s="33">
        <f>(AF34*0.8)*0.85</f>
        <v>234.72919999999999</v>
      </c>
      <c r="AH34" s="33">
        <f>(AF34*0.8)*0.15</f>
        <v>41.422799999999995</v>
      </c>
      <c r="AI34" s="33">
        <f>AF34*0.2</f>
        <v>69.037999999999997</v>
      </c>
      <c r="AJ34" s="34">
        <v>0</v>
      </c>
      <c r="AK34" s="33">
        <f>(C34-AF34-AJ34)/1.12</f>
        <v>4349.1071428571422</v>
      </c>
      <c r="AL34" s="33">
        <f>AK34-SUM(Y34:AC34)</f>
        <v>4349.1071428571422</v>
      </c>
      <c r="AM34" s="33">
        <f>+AL34*0.12</f>
        <v>521.892857142857</v>
      </c>
      <c r="AN34" s="33">
        <f t="shared" si="16"/>
        <v>4870.9999999999991</v>
      </c>
      <c r="AO34" s="39"/>
      <c r="AP34" s="40">
        <v>296</v>
      </c>
      <c r="AQ34" s="40">
        <v>1795</v>
      </c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2091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2091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.75" thickBot="1">
      <c r="A35" s="42"/>
      <c r="B35" s="43"/>
      <c r="C35" s="44">
        <f t="shared" ref="C35:Y35" si="47">SUBTOTAL(9,C33:C34)</f>
        <v>5216.1899999999996</v>
      </c>
      <c r="D35" s="162">
        <f t="shared" si="47"/>
        <v>4615.4799999999996</v>
      </c>
      <c r="E35" s="162">
        <f t="shared" si="47"/>
        <v>4615</v>
      </c>
      <c r="F35" s="174"/>
      <c r="G35" s="44">
        <f t="shared" si="47"/>
        <v>0.47999999999956344</v>
      </c>
      <c r="H35" s="44">
        <f t="shared" si="47"/>
        <v>0</v>
      </c>
      <c r="I35" s="162">
        <f t="shared" si="47"/>
        <v>200</v>
      </c>
      <c r="J35" s="162">
        <f t="shared" si="47"/>
        <v>0</v>
      </c>
      <c r="K35" s="162">
        <f t="shared" si="47"/>
        <v>435.71</v>
      </c>
      <c r="L35" s="162">
        <f t="shared" si="47"/>
        <v>0</v>
      </c>
      <c r="M35" s="44">
        <f t="shared" si="47"/>
        <v>9.3677649999999986</v>
      </c>
      <c r="N35" s="44">
        <f t="shared" si="47"/>
        <v>2.17855</v>
      </c>
      <c r="O35" s="44">
        <f t="shared" si="47"/>
        <v>424.16368499999999</v>
      </c>
      <c r="P35" s="44">
        <f t="shared" si="47"/>
        <v>0</v>
      </c>
      <c r="Q35" s="162">
        <f t="shared" si="47"/>
        <v>0</v>
      </c>
      <c r="R35" s="162">
        <f t="shared" si="47"/>
        <v>0</v>
      </c>
      <c r="S35" s="162">
        <f t="shared" si="47"/>
        <v>0</v>
      </c>
      <c r="T35" s="44">
        <f t="shared" si="47"/>
        <v>0</v>
      </c>
      <c r="U35" s="44">
        <f t="shared" si="47"/>
        <v>0</v>
      </c>
      <c r="V35" s="44">
        <f t="shared" si="47"/>
        <v>0</v>
      </c>
      <c r="W35" s="44">
        <f t="shared" si="47"/>
        <v>0</v>
      </c>
      <c r="X35" s="162">
        <f t="shared" si="47"/>
        <v>0</v>
      </c>
      <c r="Y35" s="162">
        <f t="shared" si="47"/>
        <v>0</v>
      </c>
      <c r="Z35" s="162"/>
      <c r="AA35" s="162"/>
      <c r="AB35" s="162"/>
      <c r="AC35" s="162"/>
      <c r="AD35" s="48"/>
      <c r="AE35" s="48"/>
      <c r="AF35" s="45"/>
      <c r="AG35" s="44">
        <f t="shared" ref="AG35:BQ35" si="48">SUBTOTAL(9,AG33:AG34)</f>
        <v>234.72919999999999</v>
      </c>
      <c r="AH35" s="44">
        <f t="shared" si="48"/>
        <v>41.422799999999995</v>
      </c>
      <c r="AI35" s="44">
        <f t="shared" si="48"/>
        <v>69.037999999999997</v>
      </c>
      <c r="AJ35" s="45">
        <f t="shared" si="48"/>
        <v>0</v>
      </c>
      <c r="AK35" s="44">
        <f t="shared" si="48"/>
        <v>4349.1071428571422</v>
      </c>
      <c r="AL35" s="44">
        <f t="shared" si="48"/>
        <v>4349.1071428571422</v>
      </c>
      <c r="AM35" s="44">
        <f t="shared" si="48"/>
        <v>521.892857142857</v>
      </c>
      <c r="AN35" s="44">
        <f t="shared" si="16"/>
        <v>4870.9999999999991</v>
      </c>
      <c r="AO35" s="49">
        <f t="shared" si="48"/>
        <v>0</v>
      </c>
      <c r="AP35" s="49">
        <f t="shared" si="48"/>
        <v>296</v>
      </c>
      <c r="AQ35" s="49">
        <f t="shared" si="48"/>
        <v>1795</v>
      </c>
      <c r="AR35" s="49">
        <f t="shared" si="48"/>
        <v>0</v>
      </c>
      <c r="AS35" s="49">
        <f t="shared" si="48"/>
        <v>0</v>
      </c>
      <c r="AT35" s="49">
        <f t="shared" si="48"/>
        <v>0</v>
      </c>
      <c r="AU35" s="49">
        <f>SUBTOTAL(9,AU33:AU34)</f>
        <v>0</v>
      </c>
      <c r="AV35" s="49">
        <f t="shared" si="48"/>
        <v>0</v>
      </c>
      <c r="AW35" s="49">
        <f t="shared" si="48"/>
        <v>0</v>
      </c>
      <c r="AX35" s="49">
        <f t="shared" si="48"/>
        <v>0</v>
      </c>
      <c r="AY35" s="49">
        <f t="shared" si="48"/>
        <v>0</v>
      </c>
      <c r="AZ35" s="44">
        <f t="shared" si="48"/>
        <v>2091</v>
      </c>
      <c r="BA35" s="48">
        <f t="shared" si="48"/>
        <v>0</v>
      </c>
      <c r="BB35" s="48">
        <f t="shared" si="48"/>
        <v>0</v>
      </c>
      <c r="BC35" s="44">
        <f t="shared" si="48"/>
        <v>0</v>
      </c>
      <c r="BD35" s="44">
        <f t="shared" si="48"/>
        <v>0</v>
      </c>
      <c r="BE35" s="49">
        <f t="shared" si="48"/>
        <v>0</v>
      </c>
      <c r="BF35" s="49">
        <f>SUBTOTAL(9,BF33:BF34)</f>
        <v>0</v>
      </c>
      <c r="BG35" s="49">
        <f t="shared" si="48"/>
        <v>0</v>
      </c>
      <c r="BH35" s="49">
        <f t="shared" si="48"/>
        <v>0</v>
      </c>
      <c r="BI35" s="49">
        <f t="shared" si="48"/>
        <v>0</v>
      </c>
      <c r="BJ35" s="49">
        <f t="shared" si="48"/>
        <v>0</v>
      </c>
      <c r="BK35" s="49">
        <f t="shared" si="48"/>
        <v>0</v>
      </c>
      <c r="BL35" s="49">
        <f t="shared" si="48"/>
        <v>0</v>
      </c>
      <c r="BM35" s="49">
        <f t="shared" si="48"/>
        <v>0</v>
      </c>
      <c r="BN35" s="49">
        <f t="shared" si="48"/>
        <v>0</v>
      </c>
      <c r="BO35" s="49">
        <f t="shared" si="48"/>
        <v>0</v>
      </c>
      <c r="BP35" s="49">
        <f t="shared" si="48"/>
        <v>0</v>
      </c>
      <c r="BQ35" s="49">
        <f t="shared" si="48"/>
        <v>0</v>
      </c>
      <c r="BR35" s="44">
        <f>SUBTOTAL(9,BR33:BR34)</f>
        <v>2091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>
      <c r="A36" s="175">
        <f>+A33+1</f>
        <v>43261</v>
      </c>
      <c r="B36" s="15" t="s">
        <v>43</v>
      </c>
      <c r="C36" s="33" t="s">
        <v>156</v>
      </c>
      <c r="D36" s="34"/>
      <c r="E36" s="34"/>
      <c r="F36" s="171"/>
      <c r="G36" s="33">
        <f>IF(E36-D36&lt;0,E36-D36,0)*-1</f>
        <v>0</v>
      </c>
      <c r="H36" s="33">
        <f>IF(E36-D36&gt;0,E36-D36,0)</f>
        <v>0</v>
      </c>
      <c r="I36" s="34"/>
      <c r="J36" s="34"/>
      <c r="K36" s="34"/>
      <c r="L36" s="34"/>
      <c r="M36" s="36">
        <f>(+K36)*M$5</f>
        <v>0</v>
      </c>
      <c r="N36" s="36">
        <f>(+K36)*N$5</f>
        <v>0</v>
      </c>
      <c r="O36" s="36">
        <f>+K36-M36-N36+P36</f>
        <v>0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/>
      <c r="AA36" s="34"/>
      <c r="AB36" s="34"/>
      <c r="AC36" s="34"/>
      <c r="AD36" s="38"/>
      <c r="AE36" s="38"/>
      <c r="AF36" s="34"/>
      <c r="AG36" s="33">
        <f>(AF36*0.8)*0.85</f>
        <v>0</v>
      </c>
      <c r="AH36" s="33">
        <f>(AF36*0.8)*0.15</f>
        <v>0</v>
      </c>
      <c r="AI36" s="33">
        <f>AF36*0.2</f>
        <v>0</v>
      </c>
      <c r="AJ36" s="34">
        <v>0</v>
      </c>
      <c r="AK36" s="33">
        <v>0</v>
      </c>
      <c r="AL36" s="33">
        <f>AK36-SUM(Y36:AC36)</f>
        <v>0</v>
      </c>
      <c r="AM36" s="33">
        <f>+AL36*0.12</f>
        <v>0</v>
      </c>
      <c r="AN36" s="33">
        <f>+AM36+AL36+AJ36</f>
        <v>0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.75" thickBot="1">
      <c r="A37" s="176"/>
      <c r="B37" s="15" t="s">
        <v>44</v>
      </c>
      <c r="C37" s="33"/>
      <c r="D37" s="34"/>
      <c r="E37" s="34"/>
      <c r="F37" s="171"/>
      <c r="G37" s="33">
        <f>IF(E37-D37&lt;0,E37-D37,0)*-1</f>
        <v>0</v>
      </c>
      <c r="H37" s="33">
        <f>IF(E37-D37&gt;0,E37-D37,0)</f>
        <v>0</v>
      </c>
      <c r="I37" s="34"/>
      <c r="J37" s="34"/>
      <c r="K37" s="34"/>
      <c r="L37" s="34"/>
      <c r="M37" s="36">
        <f>(+K37)*M$5</f>
        <v>0</v>
      </c>
      <c r="N37" s="36">
        <f>(+K37)*N$5</f>
        <v>0</v>
      </c>
      <c r="O37" s="36">
        <f>+K37-M37-N37+P37</f>
        <v>0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/>
      <c r="AA37" s="34"/>
      <c r="AB37" s="34"/>
      <c r="AC37" s="34"/>
      <c r="AD37" s="38"/>
      <c r="AE37" s="38"/>
      <c r="AF37" s="34"/>
      <c r="AG37" s="33">
        <f>(AF37*0.8)*0.85</f>
        <v>0</v>
      </c>
      <c r="AH37" s="33">
        <f>(AF37*0.8)*0.15</f>
        <v>0</v>
      </c>
      <c r="AI37" s="33">
        <f>AF37*0.2</f>
        <v>0</v>
      </c>
      <c r="AJ37" s="34"/>
      <c r="AK37" s="33">
        <f>(C37-AF37-AJ37)/1.12</f>
        <v>0</v>
      </c>
      <c r="AL37" s="33">
        <f>AK37-SUM(Y37:AC37)</f>
        <v>0</v>
      </c>
      <c r="AM37" s="33">
        <f>+AL37*0.12</f>
        <v>0</v>
      </c>
      <c r="AN37" s="33">
        <f>+AM37+AL37+AJ37</f>
        <v>0</v>
      </c>
      <c r="AO37" s="39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0</v>
      </c>
      <c r="BA37" s="38"/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>
        <v>0</v>
      </c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0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>
      <c r="A38" s="42"/>
      <c r="B38" s="43"/>
      <c r="C38" s="44">
        <f>SUBTOTAL(9,C36:C37)</f>
        <v>0</v>
      </c>
      <c r="D38" s="45">
        <f>SUBTOTAL(9,D36:D37)</f>
        <v>0</v>
      </c>
      <c r="E38" s="45">
        <f>SUBTOTAL(9,E36:E37)</f>
        <v>0</v>
      </c>
      <c r="F38" s="172"/>
      <c r="G38" s="45">
        <f t="shared" ref="G38:P38" si="49">SUBTOTAL(9,G36:G37)</f>
        <v>0</v>
      </c>
      <c r="H38" s="45">
        <f t="shared" si="49"/>
        <v>0</v>
      </c>
      <c r="I38" s="162">
        <f t="shared" si="49"/>
        <v>0</v>
      </c>
      <c r="J38" s="162">
        <f t="shared" si="49"/>
        <v>0</v>
      </c>
      <c r="K38" s="162">
        <f t="shared" si="49"/>
        <v>0</v>
      </c>
      <c r="L38" s="162">
        <f t="shared" si="49"/>
        <v>0</v>
      </c>
      <c r="M38" s="46">
        <f t="shared" si="49"/>
        <v>0</v>
      </c>
      <c r="N38" s="46">
        <f t="shared" si="49"/>
        <v>0</v>
      </c>
      <c r="O38" s="46">
        <f t="shared" si="49"/>
        <v>0</v>
      </c>
      <c r="P38" s="46">
        <f t="shared" si="49"/>
        <v>0</v>
      </c>
      <c r="Q38" s="47"/>
      <c r="R38" s="45">
        <f t="shared" ref="R38:BQ38" si="50">SUBTOTAL(9,R36:R37)</f>
        <v>0</v>
      </c>
      <c r="S38" s="45">
        <f t="shared" si="50"/>
        <v>0</v>
      </c>
      <c r="T38" s="46">
        <f t="shared" si="50"/>
        <v>0</v>
      </c>
      <c r="U38" s="46">
        <f t="shared" si="50"/>
        <v>0</v>
      </c>
      <c r="V38" s="46">
        <f t="shared" si="50"/>
        <v>0</v>
      </c>
      <c r="W38" s="46">
        <f t="shared" si="50"/>
        <v>0</v>
      </c>
      <c r="X38" s="47"/>
      <c r="Y38" s="45">
        <f>SUBTOTAL(9,Y36:Y37)</f>
        <v>0</v>
      </c>
      <c r="Z38" s="45"/>
      <c r="AA38" s="45"/>
      <c r="AB38" s="45"/>
      <c r="AC38" s="45"/>
      <c r="AD38" s="48"/>
      <c r="AE38" s="48"/>
      <c r="AF38" s="45"/>
      <c r="AG38" s="44">
        <f t="shared" si="50"/>
        <v>0</v>
      </c>
      <c r="AH38" s="44">
        <f t="shared" si="50"/>
        <v>0</v>
      </c>
      <c r="AI38" s="44">
        <f t="shared" si="50"/>
        <v>0</v>
      </c>
      <c r="AJ38" s="45">
        <f t="shared" si="50"/>
        <v>0</v>
      </c>
      <c r="AK38" s="44">
        <f t="shared" si="50"/>
        <v>0</v>
      </c>
      <c r="AL38" s="44">
        <f t="shared" si="50"/>
        <v>0</v>
      </c>
      <c r="AM38" s="44">
        <f t="shared" si="50"/>
        <v>0</v>
      </c>
      <c r="AN38" s="44">
        <f t="shared" si="16"/>
        <v>0</v>
      </c>
      <c r="AO38" s="49">
        <f t="shared" si="50"/>
        <v>0</v>
      </c>
      <c r="AP38" s="49">
        <f t="shared" si="50"/>
        <v>0</v>
      </c>
      <c r="AQ38" s="49">
        <f t="shared" si="50"/>
        <v>0</v>
      </c>
      <c r="AR38" s="49">
        <f t="shared" si="50"/>
        <v>0</v>
      </c>
      <c r="AS38" s="49">
        <f t="shared" si="50"/>
        <v>0</v>
      </c>
      <c r="AT38" s="49">
        <f t="shared" si="50"/>
        <v>0</v>
      </c>
      <c r="AU38" s="49">
        <f>SUBTOTAL(9,AU36:AU37)</f>
        <v>0</v>
      </c>
      <c r="AV38" s="49">
        <f t="shared" si="50"/>
        <v>0</v>
      </c>
      <c r="AW38" s="49">
        <f t="shared" si="50"/>
        <v>0</v>
      </c>
      <c r="AX38" s="49">
        <f t="shared" si="50"/>
        <v>0</v>
      </c>
      <c r="AY38" s="49">
        <f t="shared" si="50"/>
        <v>0</v>
      </c>
      <c r="AZ38" s="44">
        <f t="shared" si="50"/>
        <v>0</v>
      </c>
      <c r="BA38" s="48">
        <f t="shared" si="50"/>
        <v>0</v>
      </c>
      <c r="BB38" s="48">
        <f t="shared" si="50"/>
        <v>0</v>
      </c>
      <c r="BC38" s="44">
        <f t="shared" si="50"/>
        <v>0</v>
      </c>
      <c r="BD38" s="44">
        <f t="shared" si="50"/>
        <v>0</v>
      </c>
      <c r="BE38" s="49">
        <f t="shared" si="50"/>
        <v>0</v>
      </c>
      <c r="BF38" s="49">
        <f>SUBTOTAL(9,BF36:BF37)</f>
        <v>0</v>
      </c>
      <c r="BG38" s="49">
        <f t="shared" si="50"/>
        <v>0</v>
      </c>
      <c r="BH38" s="49">
        <f t="shared" si="50"/>
        <v>0</v>
      </c>
      <c r="BI38" s="49">
        <f t="shared" si="50"/>
        <v>0</v>
      </c>
      <c r="BJ38" s="49">
        <f t="shared" si="50"/>
        <v>0</v>
      </c>
      <c r="BK38" s="49">
        <f t="shared" si="50"/>
        <v>0</v>
      </c>
      <c r="BL38" s="49">
        <f t="shared" si="50"/>
        <v>0</v>
      </c>
      <c r="BM38" s="49">
        <f t="shared" si="50"/>
        <v>0</v>
      </c>
      <c r="BN38" s="49">
        <f t="shared" si="50"/>
        <v>0</v>
      </c>
      <c r="BO38" s="49">
        <f t="shared" si="50"/>
        <v>0</v>
      </c>
      <c r="BP38" s="49">
        <f t="shared" si="50"/>
        <v>0</v>
      </c>
      <c r="BQ38" s="49">
        <f t="shared" si="50"/>
        <v>0</v>
      </c>
      <c r="BR38" s="44">
        <f>SUBTOTAL(9,BR36:BR37)</f>
        <v>0</v>
      </c>
    </row>
    <row r="39" spans="1:125">
      <c r="A39" s="175">
        <f>+A36+1</f>
        <v>43262</v>
      </c>
      <c r="B39" s="16" t="s">
        <v>43</v>
      </c>
      <c r="C39" s="33">
        <v>10003.540000000001</v>
      </c>
      <c r="D39" s="34">
        <v>6548.05</v>
      </c>
      <c r="E39" s="34">
        <v>6550</v>
      </c>
      <c r="F39" s="171">
        <v>43262</v>
      </c>
      <c r="G39" s="33">
        <f>IF(E39-D39&lt;0,E39-D39,0)*-1</f>
        <v>0</v>
      </c>
      <c r="H39" s="33">
        <f>IF(E39-D39&gt;0,E39-D39,0)</f>
        <v>1.9499999999998181</v>
      </c>
      <c r="I39" s="34"/>
      <c r="J39" s="34"/>
      <c r="K39" s="34">
        <v>3056.12</v>
      </c>
      <c r="L39" s="34"/>
      <c r="M39" s="36">
        <f>(+K39)*M$5</f>
        <v>65.706579999999988</v>
      </c>
      <c r="N39" s="36">
        <f>(+K39)*N$5</f>
        <v>15.2806</v>
      </c>
      <c r="O39" s="36">
        <f>+K39-M39-N39+P39</f>
        <v>2975.1328199999998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144.9</v>
      </c>
      <c r="AA39" s="34"/>
      <c r="AB39" s="34"/>
      <c r="AC39" s="34">
        <v>254.47</v>
      </c>
      <c r="AD39" s="38"/>
      <c r="AE39" s="38"/>
      <c r="AF39" s="34">
        <v>753.23</v>
      </c>
      <c r="AG39" s="33">
        <f>(AF39*0.8)*0.85</f>
        <v>512.19640000000004</v>
      </c>
      <c r="AH39" s="33">
        <f>(AF39*0.8)*0.15</f>
        <v>90.387600000000006</v>
      </c>
      <c r="AI39" s="33">
        <f>AF39*0.2</f>
        <v>150.64600000000002</v>
      </c>
      <c r="AJ39" s="34"/>
      <c r="AK39" s="33">
        <f t="shared" ref="AK39:AK40" si="51">(C39-AF39-AJ39)/1.12</f>
        <v>8259.2053571428569</v>
      </c>
      <c r="AL39" s="33">
        <f t="shared" ref="AL39:AL40" si="52">AK39-SUM(Y39:AC39)</f>
        <v>7859.835357142857</v>
      </c>
      <c r="AM39" s="33">
        <f t="shared" ref="AM39:AM40" si="53">+AL39*0.12</f>
        <v>943.18024285714284</v>
      </c>
      <c r="AN39" s="33">
        <f t="shared" si="16"/>
        <v>8803.0156000000006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>
      <c r="A40" s="176"/>
      <c r="B40" s="16" t="s">
        <v>44</v>
      </c>
      <c r="C40" s="33">
        <v>5187.7700000000004</v>
      </c>
      <c r="D40" s="34">
        <v>3564.56</v>
      </c>
      <c r="E40" s="34">
        <v>3565</v>
      </c>
      <c r="F40" s="171">
        <v>43264</v>
      </c>
      <c r="G40" s="33">
        <f>IF(E40-D40&lt;0,E40-D40,0)*-1</f>
        <v>0</v>
      </c>
      <c r="H40" s="33">
        <f>IF(E40-D40&gt;0,E40-D40,0)</f>
        <v>0.44000000000005457</v>
      </c>
      <c r="I40" s="34"/>
      <c r="J40" s="34"/>
      <c r="K40" s="34">
        <v>1523.21</v>
      </c>
      <c r="L40" s="34"/>
      <c r="M40" s="36">
        <f>(+K40)*M$5</f>
        <v>32.749015</v>
      </c>
      <c r="N40" s="36">
        <f>(+K40)*N$5</f>
        <v>7.6160500000000004</v>
      </c>
      <c r="O40" s="36">
        <f>+K40-M40-N40+P40</f>
        <v>1482.8449349999999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/>
      <c r="AA40" s="34"/>
      <c r="AB40" s="34"/>
      <c r="AC40" s="34">
        <v>100</v>
      </c>
      <c r="AD40" s="38"/>
      <c r="AE40" s="38"/>
      <c r="AF40" s="34">
        <v>337.77</v>
      </c>
      <c r="AG40" s="33">
        <f>(AF40*0.8)*0.85</f>
        <v>229.68360000000001</v>
      </c>
      <c r="AH40" s="33">
        <f>(AF40*0.8)*0.15</f>
        <v>40.532400000000003</v>
      </c>
      <c r="AI40" s="33">
        <f>AF40*0.2</f>
        <v>67.554000000000002</v>
      </c>
      <c r="AJ40" s="34"/>
      <c r="AK40" s="33">
        <f t="shared" si="51"/>
        <v>4330.3571428571422</v>
      </c>
      <c r="AL40" s="33">
        <f t="shared" si="52"/>
        <v>4230.3571428571422</v>
      </c>
      <c r="AM40" s="33">
        <f t="shared" si="53"/>
        <v>507.64285714285705</v>
      </c>
      <c r="AN40" s="33">
        <f t="shared" si="16"/>
        <v>4737.9999999999991</v>
      </c>
      <c r="AO40" s="39"/>
      <c r="AP40" s="40">
        <v>525</v>
      </c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525</v>
      </c>
      <c r="BA40" s="38">
        <v>185</v>
      </c>
      <c r="BB40" s="38"/>
      <c r="BC40" s="33"/>
      <c r="BD40" s="33"/>
      <c r="BE40" s="39"/>
      <c r="BF40" s="39"/>
      <c r="BG40" s="39"/>
      <c r="BH40" s="39"/>
      <c r="BI40" s="39">
        <v>530</v>
      </c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710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thickBot="1">
      <c r="A41" s="42"/>
      <c r="B41" s="43"/>
      <c r="C41" s="44">
        <f>SUBTOTAL(9,C39:C40)</f>
        <v>15191.310000000001</v>
      </c>
      <c r="D41" s="45">
        <f>SUBTOTAL(9,D39:D40)</f>
        <v>10112.61</v>
      </c>
      <c r="E41" s="45">
        <f>SUBTOTAL(9,E39:E40)</f>
        <v>10115</v>
      </c>
      <c r="F41" s="172"/>
      <c r="G41" s="45">
        <f t="shared" ref="G41:P41" si="54">SUBTOTAL(9,G39:G40)</f>
        <v>0</v>
      </c>
      <c r="H41" s="45">
        <f t="shared" si="54"/>
        <v>2.3899999999998727</v>
      </c>
      <c r="I41" s="162">
        <f t="shared" si="54"/>
        <v>0</v>
      </c>
      <c r="J41" s="162">
        <f t="shared" si="54"/>
        <v>0</v>
      </c>
      <c r="K41" s="162">
        <f t="shared" si="54"/>
        <v>4579.33</v>
      </c>
      <c r="L41" s="162">
        <f t="shared" si="54"/>
        <v>0</v>
      </c>
      <c r="M41" s="46">
        <f t="shared" si="54"/>
        <v>98.455594999999988</v>
      </c>
      <c r="N41" s="46">
        <f t="shared" si="54"/>
        <v>22.896650000000001</v>
      </c>
      <c r="O41" s="46">
        <f t="shared" si="54"/>
        <v>4457.9777549999999</v>
      </c>
      <c r="P41" s="46">
        <f t="shared" si="54"/>
        <v>0</v>
      </c>
      <c r="Q41" s="47"/>
      <c r="R41" s="45">
        <f t="shared" ref="R41:BQ41" si="55">SUBTOTAL(9,R39:R40)</f>
        <v>0</v>
      </c>
      <c r="S41" s="45">
        <f t="shared" si="55"/>
        <v>0</v>
      </c>
      <c r="T41" s="46">
        <f t="shared" si="55"/>
        <v>0</v>
      </c>
      <c r="U41" s="46">
        <f t="shared" si="55"/>
        <v>0</v>
      </c>
      <c r="V41" s="46">
        <f t="shared" si="55"/>
        <v>0</v>
      </c>
      <c r="W41" s="46">
        <f t="shared" si="55"/>
        <v>0</v>
      </c>
      <c r="X41" s="47"/>
      <c r="Y41" s="45">
        <f>SUBTOTAL(9,Y39:Y40)</f>
        <v>0</v>
      </c>
      <c r="Z41" s="45"/>
      <c r="AA41" s="45"/>
      <c r="AB41" s="45"/>
      <c r="AC41" s="45"/>
      <c r="AD41" s="48"/>
      <c r="AE41" s="48"/>
      <c r="AF41" s="45"/>
      <c r="AG41" s="44">
        <f t="shared" si="55"/>
        <v>741.88000000000011</v>
      </c>
      <c r="AH41" s="44">
        <f t="shared" si="55"/>
        <v>130.92000000000002</v>
      </c>
      <c r="AI41" s="44">
        <f t="shared" si="55"/>
        <v>218.20000000000002</v>
      </c>
      <c r="AJ41" s="45">
        <f t="shared" si="55"/>
        <v>0</v>
      </c>
      <c r="AK41" s="44">
        <f t="shared" si="55"/>
        <v>12589.5625</v>
      </c>
      <c r="AL41" s="44">
        <f t="shared" si="55"/>
        <v>12090.192499999999</v>
      </c>
      <c r="AM41" s="44">
        <f t="shared" si="55"/>
        <v>1450.8230999999998</v>
      </c>
      <c r="AN41" s="44">
        <f t="shared" si="16"/>
        <v>13541.015599999999</v>
      </c>
      <c r="AO41" s="49">
        <f t="shared" si="55"/>
        <v>0</v>
      </c>
      <c r="AP41" s="49">
        <f t="shared" si="55"/>
        <v>525</v>
      </c>
      <c r="AQ41" s="49">
        <f t="shared" si="55"/>
        <v>0</v>
      </c>
      <c r="AR41" s="49">
        <f t="shared" si="55"/>
        <v>0</v>
      </c>
      <c r="AS41" s="49">
        <f t="shared" si="55"/>
        <v>0</v>
      </c>
      <c r="AT41" s="49">
        <f t="shared" si="55"/>
        <v>0</v>
      </c>
      <c r="AU41" s="49">
        <f>SUBTOTAL(9,AU39:AU40)</f>
        <v>0</v>
      </c>
      <c r="AV41" s="49">
        <f t="shared" si="55"/>
        <v>0</v>
      </c>
      <c r="AW41" s="49">
        <f t="shared" si="55"/>
        <v>0</v>
      </c>
      <c r="AX41" s="49">
        <f t="shared" si="55"/>
        <v>0</v>
      </c>
      <c r="AY41" s="49">
        <f t="shared" si="55"/>
        <v>0</v>
      </c>
      <c r="AZ41" s="44">
        <f t="shared" si="55"/>
        <v>525</v>
      </c>
      <c r="BA41" s="48">
        <f t="shared" si="55"/>
        <v>185</v>
      </c>
      <c r="BB41" s="48">
        <f t="shared" si="55"/>
        <v>0</v>
      </c>
      <c r="BC41" s="44">
        <f t="shared" si="55"/>
        <v>0</v>
      </c>
      <c r="BD41" s="44">
        <f t="shared" si="55"/>
        <v>0</v>
      </c>
      <c r="BE41" s="49">
        <f t="shared" si="55"/>
        <v>0</v>
      </c>
      <c r="BF41" s="49">
        <f>SUBTOTAL(9,BF39:BF40)</f>
        <v>0</v>
      </c>
      <c r="BG41" s="49">
        <f t="shared" si="55"/>
        <v>0</v>
      </c>
      <c r="BH41" s="49">
        <f t="shared" si="55"/>
        <v>0</v>
      </c>
      <c r="BI41" s="49">
        <f t="shared" si="55"/>
        <v>530</v>
      </c>
      <c r="BJ41" s="49">
        <f t="shared" si="55"/>
        <v>0</v>
      </c>
      <c r="BK41" s="49">
        <f t="shared" si="55"/>
        <v>0</v>
      </c>
      <c r="BL41" s="49">
        <f t="shared" si="55"/>
        <v>0</v>
      </c>
      <c r="BM41" s="49">
        <f t="shared" si="55"/>
        <v>0</v>
      </c>
      <c r="BN41" s="49">
        <f t="shared" si="55"/>
        <v>0</v>
      </c>
      <c r="BO41" s="49">
        <f t="shared" si="55"/>
        <v>0</v>
      </c>
      <c r="BP41" s="49">
        <f t="shared" si="55"/>
        <v>0</v>
      </c>
      <c r="BQ41" s="49">
        <f t="shared" si="55"/>
        <v>0</v>
      </c>
      <c r="BR41" s="44">
        <f>SUBTOTAL(9,BR39:BR40)</f>
        <v>710</v>
      </c>
    </row>
    <row r="42" spans="1:125">
      <c r="A42" s="175">
        <f>+A39+1</f>
        <v>43263</v>
      </c>
      <c r="B42" s="15" t="s">
        <v>43</v>
      </c>
      <c r="C42" s="33" t="s">
        <v>157</v>
      </c>
      <c r="D42" s="34"/>
      <c r="E42" s="34"/>
      <c r="F42" s="171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v>0</v>
      </c>
      <c r="AL42" s="33">
        <f>AK42-SUM(Y42:AC42)</f>
        <v>0</v>
      </c>
      <c r="AM42" s="33">
        <f>+AL42*0.12</f>
        <v>0</v>
      </c>
      <c r="AN42" s="33">
        <f t="shared" si="16"/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.75" thickBot="1">
      <c r="A43" s="176"/>
      <c r="B43" s="15" t="s">
        <v>44</v>
      </c>
      <c r="C43" s="33"/>
      <c r="D43" s="34"/>
      <c r="E43" s="34"/>
      <c r="F43" s="171"/>
      <c r="G43" s="33">
        <f>IF(E43-D43&lt;0,E43-D43,0)*-1</f>
        <v>0</v>
      </c>
      <c r="H43" s="33">
        <f>IF(E43-D43&gt;0,E43-D43,0)</f>
        <v>0</v>
      </c>
      <c r="I43" s="34"/>
      <c r="J43" s="34"/>
      <c r="K43" s="34"/>
      <c r="L43" s="34"/>
      <c r="M43" s="36">
        <f>(+K43)*M$5</f>
        <v>0</v>
      </c>
      <c r="N43" s="36">
        <f>(+K43)*N$5</f>
        <v>0</v>
      </c>
      <c r="O43" s="36">
        <f>+K43-M43-N43+P43</f>
        <v>0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/>
      <c r="AB43" s="34"/>
      <c r="AC43" s="34"/>
      <c r="AD43" s="38"/>
      <c r="AE43" s="38"/>
      <c r="AF43" s="34"/>
      <c r="AG43" s="33">
        <f>(AF43*0.8)*0.85</f>
        <v>0</v>
      </c>
      <c r="AH43" s="33">
        <f>(AF43*0.8)*0.15</f>
        <v>0</v>
      </c>
      <c r="AI43" s="33">
        <f>AF43*0.2</f>
        <v>0</v>
      </c>
      <c r="AJ43" s="34"/>
      <c r="AK43" s="33">
        <f>(C43-AF43-AJ43)/1.12</f>
        <v>0</v>
      </c>
      <c r="AL43" s="33">
        <f>AK43-SUM(Y43:AC43)</f>
        <v>0</v>
      </c>
      <c r="AM43" s="33">
        <f>+AL43*0.12</f>
        <v>0</v>
      </c>
      <c r="AN43" s="33">
        <f t="shared" si="16"/>
        <v>0</v>
      </c>
      <c r="AO43" s="39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0</v>
      </c>
      <c r="BA43" s="38"/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>
      <c r="A44" s="42"/>
      <c r="B44" s="43"/>
      <c r="C44" s="44">
        <f>SUBTOTAL(9,C42:C43)</f>
        <v>0</v>
      </c>
      <c r="D44" s="45">
        <f>SUBTOTAL(9,D42:D43)</f>
        <v>0</v>
      </c>
      <c r="E44" s="45">
        <f>SUBTOTAL(9,E42:E43)</f>
        <v>0</v>
      </c>
      <c r="F44" s="172"/>
      <c r="G44" s="45">
        <f t="shared" ref="G44:P44" si="56">SUBTOTAL(9,G42:G43)</f>
        <v>0</v>
      </c>
      <c r="H44" s="45">
        <f t="shared" si="56"/>
        <v>0</v>
      </c>
      <c r="I44" s="162">
        <f t="shared" si="56"/>
        <v>0</v>
      </c>
      <c r="J44" s="162">
        <f t="shared" si="56"/>
        <v>0</v>
      </c>
      <c r="K44" s="162">
        <f t="shared" si="56"/>
        <v>0</v>
      </c>
      <c r="L44" s="162">
        <f t="shared" si="56"/>
        <v>0</v>
      </c>
      <c r="M44" s="46">
        <f t="shared" si="56"/>
        <v>0</v>
      </c>
      <c r="N44" s="46">
        <f t="shared" si="56"/>
        <v>0</v>
      </c>
      <c r="O44" s="46">
        <f t="shared" si="56"/>
        <v>0</v>
      </c>
      <c r="P44" s="46">
        <f t="shared" si="56"/>
        <v>0</v>
      </c>
      <c r="Q44" s="47"/>
      <c r="R44" s="45">
        <f t="shared" ref="R44:BQ44" si="57">SUBTOTAL(9,R42:R43)</f>
        <v>0</v>
      </c>
      <c r="S44" s="45">
        <f t="shared" si="57"/>
        <v>0</v>
      </c>
      <c r="T44" s="46">
        <f t="shared" si="57"/>
        <v>0</v>
      </c>
      <c r="U44" s="46">
        <f t="shared" si="57"/>
        <v>0</v>
      </c>
      <c r="V44" s="46">
        <f t="shared" si="57"/>
        <v>0</v>
      </c>
      <c r="W44" s="46">
        <f t="shared" si="57"/>
        <v>0</v>
      </c>
      <c r="X44" s="47"/>
      <c r="Y44" s="45">
        <f>SUBTOTAL(9,Y42:Y43)</f>
        <v>0</v>
      </c>
      <c r="Z44" s="45"/>
      <c r="AA44" s="45"/>
      <c r="AB44" s="45"/>
      <c r="AC44" s="45"/>
      <c r="AD44" s="48"/>
      <c r="AE44" s="48"/>
      <c r="AF44" s="45"/>
      <c r="AG44" s="44">
        <f t="shared" si="57"/>
        <v>0</v>
      </c>
      <c r="AH44" s="44">
        <f t="shared" si="57"/>
        <v>0</v>
      </c>
      <c r="AI44" s="44">
        <f t="shared" si="57"/>
        <v>0</v>
      </c>
      <c r="AJ44" s="45">
        <f t="shared" si="57"/>
        <v>0</v>
      </c>
      <c r="AK44" s="44">
        <f t="shared" si="57"/>
        <v>0</v>
      </c>
      <c r="AL44" s="44">
        <f t="shared" si="57"/>
        <v>0</v>
      </c>
      <c r="AM44" s="44">
        <f t="shared" si="57"/>
        <v>0</v>
      </c>
      <c r="AN44" s="44">
        <f t="shared" ref="AN44:AN76" si="58">+AM44+AL44+AJ44</f>
        <v>0</v>
      </c>
      <c r="AO44" s="49">
        <f t="shared" si="57"/>
        <v>0</v>
      </c>
      <c r="AP44" s="49">
        <f t="shared" si="57"/>
        <v>0</v>
      </c>
      <c r="AQ44" s="49">
        <f t="shared" si="57"/>
        <v>0</v>
      </c>
      <c r="AR44" s="49">
        <f t="shared" si="57"/>
        <v>0</v>
      </c>
      <c r="AS44" s="49">
        <f t="shared" si="57"/>
        <v>0</v>
      </c>
      <c r="AT44" s="49">
        <f t="shared" si="57"/>
        <v>0</v>
      </c>
      <c r="AU44" s="49">
        <f>SUBTOTAL(9,AU42:AU43)</f>
        <v>0</v>
      </c>
      <c r="AV44" s="49">
        <f t="shared" si="57"/>
        <v>0</v>
      </c>
      <c r="AW44" s="49">
        <f t="shared" si="57"/>
        <v>0</v>
      </c>
      <c r="AX44" s="49">
        <f t="shared" si="57"/>
        <v>0</v>
      </c>
      <c r="AY44" s="49">
        <f t="shared" si="57"/>
        <v>0</v>
      </c>
      <c r="AZ44" s="44">
        <f t="shared" si="57"/>
        <v>0</v>
      </c>
      <c r="BA44" s="48">
        <f t="shared" si="57"/>
        <v>0</v>
      </c>
      <c r="BB44" s="48">
        <f t="shared" si="57"/>
        <v>0</v>
      </c>
      <c r="BC44" s="44">
        <f t="shared" si="57"/>
        <v>0</v>
      </c>
      <c r="BD44" s="44">
        <f t="shared" si="57"/>
        <v>0</v>
      </c>
      <c r="BE44" s="49">
        <f t="shared" si="57"/>
        <v>0</v>
      </c>
      <c r="BF44" s="49">
        <f>SUBTOTAL(9,BF42:BF43)</f>
        <v>0</v>
      </c>
      <c r="BG44" s="49">
        <f t="shared" si="57"/>
        <v>0</v>
      </c>
      <c r="BH44" s="49">
        <f t="shared" si="57"/>
        <v>0</v>
      </c>
      <c r="BI44" s="49">
        <f t="shared" si="57"/>
        <v>0</v>
      </c>
      <c r="BJ44" s="49">
        <f t="shared" si="57"/>
        <v>0</v>
      </c>
      <c r="BK44" s="49">
        <f t="shared" si="57"/>
        <v>0</v>
      </c>
      <c r="BL44" s="49">
        <f t="shared" si="57"/>
        <v>0</v>
      </c>
      <c r="BM44" s="49">
        <f t="shared" si="57"/>
        <v>0</v>
      </c>
      <c r="BN44" s="49">
        <f t="shared" si="57"/>
        <v>0</v>
      </c>
      <c r="BO44" s="49">
        <f t="shared" si="57"/>
        <v>0</v>
      </c>
      <c r="BP44" s="49">
        <f t="shared" si="57"/>
        <v>0</v>
      </c>
      <c r="BQ44" s="49">
        <f t="shared" si="57"/>
        <v>0</v>
      </c>
      <c r="BR44" s="44">
        <f>SUBTOTAL(9,BR42:BR43)</f>
        <v>0</v>
      </c>
    </row>
    <row r="45" spans="1:125">
      <c r="A45" s="175">
        <f>+A42+1</f>
        <v>43264</v>
      </c>
      <c r="B45" s="15" t="s">
        <v>43</v>
      </c>
      <c r="C45" s="33">
        <v>15986.68</v>
      </c>
      <c r="D45" s="34">
        <v>8024.83</v>
      </c>
      <c r="E45" s="34">
        <v>8025</v>
      </c>
      <c r="F45" s="171">
        <v>43264</v>
      </c>
      <c r="G45" s="33">
        <v>0</v>
      </c>
      <c r="H45" s="33">
        <f>IF(E45-D45&gt;0,E45-D45,0)</f>
        <v>0.17000000000007276</v>
      </c>
      <c r="I45" s="34"/>
      <c r="J45" s="34"/>
      <c r="K45" s="34">
        <v>7497.13</v>
      </c>
      <c r="L45" s="34"/>
      <c r="M45" s="36">
        <f>(+K45)*M$5</f>
        <v>161.18829499999998</v>
      </c>
      <c r="N45" s="36">
        <f>(+K45)*N$5</f>
        <v>37.48565</v>
      </c>
      <c r="O45" s="36">
        <f>+K45-M45-N45+P45</f>
        <v>7298.4560550000006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>
        <v>223.5</v>
      </c>
      <c r="AA45" s="34"/>
      <c r="AB45" s="34"/>
      <c r="AC45" s="34">
        <v>241.22</v>
      </c>
      <c r="AD45" s="38"/>
      <c r="AE45" s="38"/>
      <c r="AF45" s="34">
        <v>1245.42</v>
      </c>
      <c r="AG45" s="33">
        <f>(AF45*0.8)*0.85</f>
        <v>846.88560000000007</v>
      </c>
      <c r="AH45" s="33">
        <f>(AF45*0.8)*0.15</f>
        <v>149.4504</v>
      </c>
      <c r="AI45" s="33">
        <f>AF45*0.2</f>
        <v>249.08400000000003</v>
      </c>
      <c r="AJ45" s="34"/>
      <c r="AK45" s="33">
        <f t="shared" ref="AK45:AK46" si="59">(C45-AF45-AJ45)/1.12</f>
        <v>13161.839285714284</v>
      </c>
      <c r="AL45" s="33">
        <f t="shared" ref="AL45:AL46" si="60">AK45-SUM(Y45:AC45)</f>
        <v>12697.119285714285</v>
      </c>
      <c r="AM45" s="33">
        <f t="shared" ref="AM45:AM46" si="61">+AL45*0.12</f>
        <v>1523.6543142857142</v>
      </c>
      <c r="AN45" s="33">
        <f t="shared" si="58"/>
        <v>14220.773599999999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>
      <c r="A46" s="176"/>
      <c r="B46" s="15" t="s">
        <v>44</v>
      </c>
      <c r="C46" s="33">
        <v>15646.13</v>
      </c>
      <c r="D46" s="34">
        <v>12696.4</v>
      </c>
      <c r="E46" s="34">
        <v>12700</v>
      </c>
      <c r="F46" s="171">
        <v>43265</v>
      </c>
      <c r="G46" s="33">
        <f>IF(E46-D46&lt;0,E46-D46,0)*-1</f>
        <v>0</v>
      </c>
      <c r="H46" s="33">
        <f>IF(E46-D46&gt;0,E46-D46,0)</f>
        <v>3.6000000000003638</v>
      </c>
      <c r="I46" s="34"/>
      <c r="J46" s="34"/>
      <c r="K46" s="34">
        <v>2838.57</v>
      </c>
      <c r="L46" s="34"/>
      <c r="M46" s="36">
        <f>(+K46)*M$5</f>
        <v>61.029254999999999</v>
      </c>
      <c r="N46" s="36">
        <f>(+K46)*N$5</f>
        <v>14.192850000000002</v>
      </c>
      <c r="O46" s="36">
        <f>+K46-M46-N46+P46</f>
        <v>2763.3478950000003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>
        <v>111.16</v>
      </c>
      <c r="AD46" s="38"/>
      <c r="AE46" s="38"/>
      <c r="AF46" s="34">
        <v>1181.83</v>
      </c>
      <c r="AG46" s="33">
        <f>(AF46*0.8)*0.85</f>
        <v>803.64439999999991</v>
      </c>
      <c r="AH46" s="33">
        <f>(AF46*0.8)*0.15</f>
        <v>141.81959999999998</v>
      </c>
      <c r="AI46" s="33">
        <f>AF46*0.2</f>
        <v>236.36599999999999</v>
      </c>
      <c r="AJ46" s="34"/>
      <c r="AK46" s="33">
        <f t="shared" si="59"/>
        <v>12914.553571428569</v>
      </c>
      <c r="AL46" s="33">
        <f t="shared" si="60"/>
        <v>12803.393571428569</v>
      </c>
      <c r="AM46" s="33">
        <f t="shared" si="61"/>
        <v>1536.4072285714283</v>
      </c>
      <c r="AN46" s="33">
        <f t="shared" si="58"/>
        <v>14339.800799999997</v>
      </c>
      <c r="AO46" s="39">
        <f>180+305</f>
        <v>485</v>
      </c>
      <c r="AP46" s="40"/>
      <c r="AQ46" s="40"/>
      <c r="AR46" s="40">
        <v>410</v>
      </c>
      <c r="AS46" s="40"/>
      <c r="AT46" s="40"/>
      <c r="AU46" s="40"/>
      <c r="AV46" s="40"/>
      <c r="AW46" s="40"/>
      <c r="AX46" s="40"/>
      <c r="AY46" s="40"/>
      <c r="AZ46" s="33">
        <f>SUM(AO46:AY46)</f>
        <v>895</v>
      </c>
      <c r="BA46" s="38">
        <v>175</v>
      </c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1070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.75" thickBot="1">
      <c r="A47" s="42"/>
      <c r="B47" s="43"/>
      <c r="C47" s="44">
        <f>SUBTOTAL(9,C45:C46)</f>
        <v>31632.809999999998</v>
      </c>
      <c r="D47" s="45">
        <f>SUBTOTAL(9,D45:D46)</f>
        <v>20721.23</v>
      </c>
      <c r="E47" s="45">
        <f>SUBTOTAL(9,E45:E46)</f>
        <v>20725</v>
      </c>
      <c r="F47" s="172"/>
      <c r="G47" s="45">
        <f t="shared" ref="G47:P47" si="62">SUBTOTAL(9,G45:G46)</f>
        <v>0</v>
      </c>
      <c r="H47" s="45">
        <f t="shared" si="62"/>
        <v>3.7700000000004366</v>
      </c>
      <c r="I47" s="162">
        <f t="shared" si="62"/>
        <v>0</v>
      </c>
      <c r="J47" s="162">
        <f t="shared" si="62"/>
        <v>0</v>
      </c>
      <c r="K47" s="162">
        <f t="shared" si="62"/>
        <v>10335.700000000001</v>
      </c>
      <c r="L47" s="162">
        <f t="shared" si="62"/>
        <v>0</v>
      </c>
      <c r="M47" s="46">
        <f t="shared" si="62"/>
        <v>222.21754999999999</v>
      </c>
      <c r="N47" s="46">
        <f t="shared" si="62"/>
        <v>51.6785</v>
      </c>
      <c r="O47" s="46">
        <f t="shared" si="62"/>
        <v>10061.803950000001</v>
      </c>
      <c r="P47" s="46">
        <f t="shared" si="62"/>
        <v>0</v>
      </c>
      <c r="Q47" s="47"/>
      <c r="R47" s="45">
        <f t="shared" ref="R47:BQ47" si="63">SUBTOTAL(9,R45:R46)</f>
        <v>0</v>
      </c>
      <c r="S47" s="45">
        <f t="shared" si="63"/>
        <v>0</v>
      </c>
      <c r="T47" s="46">
        <f t="shared" si="63"/>
        <v>0</v>
      </c>
      <c r="U47" s="46">
        <f t="shared" si="63"/>
        <v>0</v>
      </c>
      <c r="V47" s="46">
        <f t="shared" si="63"/>
        <v>0</v>
      </c>
      <c r="W47" s="46">
        <f t="shared" si="63"/>
        <v>0</v>
      </c>
      <c r="X47" s="47"/>
      <c r="Y47" s="45">
        <f>SUBTOTAL(9,Y45:Y46)</f>
        <v>0</v>
      </c>
      <c r="Z47" s="45"/>
      <c r="AA47" s="45"/>
      <c r="AB47" s="45"/>
      <c r="AC47" s="45"/>
      <c r="AD47" s="48"/>
      <c r="AE47" s="48"/>
      <c r="AF47" s="45"/>
      <c r="AG47" s="44">
        <f t="shared" si="63"/>
        <v>1650.53</v>
      </c>
      <c r="AH47" s="44">
        <f t="shared" si="63"/>
        <v>291.27</v>
      </c>
      <c r="AI47" s="44">
        <f t="shared" si="63"/>
        <v>485.45000000000005</v>
      </c>
      <c r="AJ47" s="45">
        <f t="shared" si="63"/>
        <v>0</v>
      </c>
      <c r="AK47" s="44">
        <f t="shared" si="63"/>
        <v>26076.392857142855</v>
      </c>
      <c r="AL47" s="44">
        <f t="shared" si="63"/>
        <v>25500.512857142854</v>
      </c>
      <c r="AM47" s="44">
        <f t="shared" si="63"/>
        <v>3060.0615428571427</v>
      </c>
      <c r="AN47" s="44">
        <f t="shared" si="58"/>
        <v>28560.574399999998</v>
      </c>
      <c r="AO47" s="49">
        <f t="shared" si="63"/>
        <v>485</v>
      </c>
      <c r="AP47" s="49">
        <f t="shared" si="63"/>
        <v>0</v>
      </c>
      <c r="AQ47" s="49">
        <f t="shared" si="63"/>
        <v>0</v>
      </c>
      <c r="AR47" s="49">
        <f t="shared" si="63"/>
        <v>410</v>
      </c>
      <c r="AS47" s="49">
        <f t="shared" si="63"/>
        <v>0</v>
      </c>
      <c r="AT47" s="49">
        <f t="shared" si="63"/>
        <v>0</v>
      </c>
      <c r="AU47" s="49">
        <f>SUBTOTAL(9,AU45:AU46)</f>
        <v>0</v>
      </c>
      <c r="AV47" s="49">
        <f t="shared" si="63"/>
        <v>0</v>
      </c>
      <c r="AW47" s="49">
        <f t="shared" si="63"/>
        <v>0</v>
      </c>
      <c r="AX47" s="49">
        <f t="shared" si="63"/>
        <v>0</v>
      </c>
      <c r="AY47" s="49">
        <f t="shared" si="63"/>
        <v>0</v>
      </c>
      <c r="AZ47" s="44">
        <f t="shared" si="63"/>
        <v>895</v>
      </c>
      <c r="BA47" s="48">
        <f t="shared" si="63"/>
        <v>175</v>
      </c>
      <c r="BB47" s="48">
        <f t="shared" si="63"/>
        <v>0</v>
      </c>
      <c r="BC47" s="44">
        <f t="shared" si="63"/>
        <v>0</v>
      </c>
      <c r="BD47" s="44">
        <f t="shared" si="63"/>
        <v>0</v>
      </c>
      <c r="BE47" s="49">
        <f t="shared" si="63"/>
        <v>0</v>
      </c>
      <c r="BF47" s="49">
        <f>SUBTOTAL(9,BF45:BF46)</f>
        <v>0</v>
      </c>
      <c r="BG47" s="49">
        <f t="shared" si="63"/>
        <v>0</v>
      </c>
      <c r="BH47" s="49">
        <f t="shared" si="63"/>
        <v>0</v>
      </c>
      <c r="BI47" s="49">
        <f t="shared" si="63"/>
        <v>0</v>
      </c>
      <c r="BJ47" s="49">
        <f t="shared" si="63"/>
        <v>0</v>
      </c>
      <c r="BK47" s="49">
        <f t="shared" si="63"/>
        <v>0</v>
      </c>
      <c r="BL47" s="49">
        <f t="shared" si="63"/>
        <v>0</v>
      </c>
      <c r="BM47" s="49">
        <f t="shared" si="63"/>
        <v>0</v>
      </c>
      <c r="BN47" s="49">
        <f t="shared" si="63"/>
        <v>0</v>
      </c>
      <c r="BO47" s="49">
        <f t="shared" si="63"/>
        <v>0</v>
      </c>
      <c r="BP47" s="49">
        <f t="shared" si="63"/>
        <v>0</v>
      </c>
      <c r="BQ47" s="49">
        <f t="shared" si="63"/>
        <v>0</v>
      </c>
      <c r="BR47" s="44">
        <f>SUBTOTAL(9,BR45:BR46)</f>
        <v>1070</v>
      </c>
    </row>
    <row r="48" spans="1:125">
      <c r="A48" s="175">
        <f>A45+1</f>
        <v>43265</v>
      </c>
      <c r="B48" s="16" t="s">
        <v>43</v>
      </c>
      <c r="C48" s="33">
        <v>34011.69</v>
      </c>
      <c r="D48" s="34">
        <v>23872.04</v>
      </c>
      <c r="E48" s="34">
        <v>23875</v>
      </c>
      <c r="F48" s="171">
        <v>43265</v>
      </c>
      <c r="G48" s="33">
        <f>IF(E48-D48&lt;0,E48-D48,0)*-1</f>
        <v>0</v>
      </c>
      <c r="H48" s="33">
        <f>IF(E48-D48&gt;0,E48-D48,0)</f>
        <v>2.9599999999991269</v>
      </c>
      <c r="I48" s="34"/>
      <c r="J48" s="34">
        <v>0</v>
      </c>
      <c r="K48" s="34">
        <v>9966.9699999999993</v>
      </c>
      <c r="L48" s="34"/>
      <c r="M48" s="36">
        <f>(+K48)*M$5</f>
        <v>214.28985499999996</v>
      </c>
      <c r="N48" s="36">
        <f>(+K48)*N$5</f>
        <v>49.834849999999996</v>
      </c>
      <c r="O48" s="36">
        <f>+K48-M48-N48+P48</f>
        <v>9702.845295000001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13.75</v>
      </c>
      <c r="AA48" s="34"/>
      <c r="AB48" s="34"/>
      <c r="AC48" s="34">
        <v>158.93</v>
      </c>
      <c r="AD48" s="38"/>
      <c r="AE48" s="38"/>
      <c r="AF48" s="34">
        <v>2699.05</v>
      </c>
      <c r="AG48" s="33">
        <f>(AF48*0.8)*0.85</f>
        <v>1835.354</v>
      </c>
      <c r="AH48" s="33">
        <f>(AF48*0.8)*0.15</f>
        <v>323.88600000000002</v>
      </c>
      <c r="AI48" s="33">
        <f>AF48*0.2</f>
        <v>539.81000000000006</v>
      </c>
      <c r="AJ48" s="34"/>
      <c r="AK48" s="33">
        <f t="shared" ref="AK48" si="64">(C48-AF48-AJ48)/1.12</f>
        <v>27957.714285714286</v>
      </c>
      <c r="AL48" s="33">
        <f t="shared" ref="AL48" si="65">AK48-SUM(Y48:AC48)</f>
        <v>27785.034285714286</v>
      </c>
      <c r="AM48" s="33">
        <f t="shared" ref="AM48" si="66">+AL48*0.12</f>
        <v>3334.2041142857142</v>
      </c>
      <c r="AN48" s="33">
        <f t="shared" ref="AN48" si="67">+AM48+AL48+AJ48</f>
        <v>31119.238400000002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.75" thickBot="1">
      <c r="A49" s="176"/>
      <c r="B49" s="16" t="s">
        <v>44</v>
      </c>
      <c r="C49" s="33">
        <v>21032.77</v>
      </c>
      <c r="D49" s="34">
        <v>19340.38</v>
      </c>
      <c r="E49" s="34">
        <v>19341.5</v>
      </c>
      <c r="F49" s="171">
        <v>43269</v>
      </c>
      <c r="G49" s="33">
        <f>IF(E49-D49&lt;0,E49-D49,0)*-1</f>
        <v>0</v>
      </c>
      <c r="H49" s="33">
        <f>IF(E49-D49&gt;0,E49-D49,0)</f>
        <v>1.1199999999989814</v>
      </c>
      <c r="I49" s="34"/>
      <c r="J49" s="34"/>
      <c r="K49" s="34">
        <v>1525</v>
      </c>
      <c r="L49" s="34"/>
      <c r="M49" s="36">
        <f>(+K49)*M$5</f>
        <v>32.787499999999994</v>
      </c>
      <c r="N49" s="36">
        <f>(+K49)*N$5</f>
        <v>7.625</v>
      </c>
      <c r="O49" s="36">
        <f>+K49-M49-N49+P49</f>
        <v>1484.5875000000001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f>113+13</f>
        <v>126</v>
      </c>
      <c r="AA49" s="34"/>
      <c r="AB49" s="34">
        <v>15.5</v>
      </c>
      <c r="AC49" s="34">
        <v>25.89</v>
      </c>
      <c r="AD49" s="38"/>
      <c r="AE49" s="38"/>
      <c r="AF49" s="34">
        <v>1568.31</v>
      </c>
      <c r="AG49" s="33">
        <f>(AF49*0.8)*0.85</f>
        <v>1066.4508000000001</v>
      </c>
      <c r="AH49" s="33">
        <f>(AF49*0.8)*0.15</f>
        <v>188.19720000000001</v>
      </c>
      <c r="AI49" s="33">
        <f>AF49*0.2</f>
        <v>313.66200000000003</v>
      </c>
      <c r="AJ49" s="34"/>
      <c r="AK49" s="33">
        <f>(C49-AF49-AJ49)/1.12</f>
        <v>17378.982142857141</v>
      </c>
      <c r="AL49" s="33">
        <f>AK49-SUM(Y49:AC49)</f>
        <v>17211.592142857142</v>
      </c>
      <c r="AM49" s="33">
        <f>+AL49*0.12</f>
        <v>2065.3910571428569</v>
      </c>
      <c r="AN49" s="33">
        <f t="shared" ref="AN49" si="68">+AM49+AL49+AJ49</f>
        <v>19276.983199999999</v>
      </c>
      <c r="AO49" s="39">
        <v>20</v>
      </c>
      <c r="AP49" s="40"/>
      <c r="AQ49" s="40"/>
      <c r="AR49" s="40">
        <v>245</v>
      </c>
      <c r="AS49" s="40"/>
      <c r="AT49" s="40"/>
      <c r="AU49" s="40"/>
      <c r="AV49" s="40"/>
      <c r="AW49" s="40"/>
      <c r="AX49" s="40"/>
      <c r="AY49" s="40"/>
      <c r="AZ49" s="33">
        <f>SUM(AO49:AY49)</f>
        <v>265</v>
      </c>
      <c r="BA49" s="38">
        <v>620</v>
      </c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885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>
      <c r="A50" s="42"/>
      <c r="B50" s="43"/>
      <c r="C50" s="44">
        <f>SUBTOTAL(9,C48:C49)</f>
        <v>55044.460000000006</v>
      </c>
      <c r="D50" s="45">
        <f>SUBTOTAL(9,D48:D49)</f>
        <v>43212.42</v>
      </c>
      <c r="E50" s="45">
        <f>SUBTOTAL(9,E48:E49)</f>
        <v>43216.5</v>
      </c>
      <c r="F50" s="172"/>
      <c r="G50" s="45">
        <f t="shared" ref="G50:P50" si="69">SUBTOTAL(9,G48:G49)</f>
        <v>0</v>
      </c>
      <c r="H50" s="45">
        <f t="shared" si="69"/>
        <v>4.0799999999981083</v>
      </c>
      <c r="I50" s="162">
        <f t="shared" si="69"/>
        <v>0</v>
      </c>
      <c r="J50" s="162">
        <f t="shared" si="69"/>
        <v>0</v>
      </c>
      <c r="K50" s="162">
        <f t="shared" si="69"/>
        <v>11491.97</v>
      </c>
      <c r="L50" s="162">
        <f t="shared" si="69"/>
        <v>0</v>
      </c>
      <c r="M50" s="46">
        <f t="shared" si="69"/>
        <v>247.07735499999995</v>
      </c>
      <c r="N50" s="46">
        <f t="shared" si="69"/>
        <v>57.459849999999996</v>
      </c>
      <c r="O50" s="46">
        <f t="shared" si="69"/>
        <v>11187.432795000001</v>
      </c>
      <c r="P50" s="46">
        <f t="shared" si="69"/>
        <v>0</v>
      </c>
      <c r="Q50" s="47"/>
      <c r="R50" s="45">
        <f t="shared" ref="R50:BQ50" si="70">SUBTOTAL(9,R48:R49)</f>
        <v>0</v>
      </c>
      <c r="S50" s="45">
        <f t="shared" si="70"/>
        <v>0</v>
      </c>
      <c r="T50" s="46">
        <f t="shared" si="70"/>
        <v>0</v>
      </c>
      <c r="U50" s="46">
        <f t="shared" si="70"/>
        <v>0</v>
      </c>
      <c r="V50" s="46">
        <f t="shared" si="70"/>
        <v>0</v>
      </c>
      <c r="W50" s="46">
        <f t="shared" si="70"/>
        <v>0</v>
      </c>
      <c r="X50" s="47"/>
      <c r="Y50" s="45">
        <f>SUBTOTAL(9,Y48:Y49)</f>
        <v>0</v>
      </c>
      <c r="Z50" s="45"/>
      <c r="AA50" s="45"/>
      <c r="AB50" s="45"/>
      <c r="AC50" s="45"/>
      <c r="AD50" s="48"/>
      <c r="AE50" s="48"/>
      <c r="AF50" s="45"/>
      <c r="AG50" s="44">
        <f t="shared" si="70"/>
        <v>2901.8047999999999</v>
      </c>
      <c r="AH50" s="44">
        <f t="shared" si="70"/>
        <v>512.08320000000003</v>
      </c>
      <c r="AI50" s="44">
        <f t="shared" si="70"/>
        <v>853.47200000000009</v>
      </c>
      <c r="AJ50" s="45">
        <f t="shared" si="70"/>
        <v>0</v>
      </c>
      <c r="AK50" s="44">
        <f t="shared" si="70"/>
        <v>45336.696428571428</v>
      </c>
      <c r="AL50" s="44">
        <f t="shared" si="70"/>
        <v>44996.626428571428</v>
      </c>
      <c r="AM50" s="44">
        <f t="shared" si="70"/>
        <v>5399.5951714285711</v>
      </c>
      <c r="AN50" s="44">
        <f t="shared" si="58"/>
        <v>50396.221599999997</v>
      </c>
      <c r="AO50" s="49">
        <f t="shared" si="70"/>
        <v>20</v>
      </c>
      <c r="AP50" s="49">
        <f t="shared" si="70"/>
        <v>0</v>
      </c>
      <c r="AQ50" s="49">
        <f t="shared" si="70"/>
        <v>0</v>
      </c>
      <c r="AR50" s="49">
        <f t="shared" si="70"/>
        <v>245</v>
      </c>
      <c r="AS50" s="49">
        <f t="shared" si="70"/>
        <v>0</v>
      </c>
      <c r="AT50" s="49">
        <f t="shared" si="70"/>
        <v>0</v>
      </c>
      <c r="AU50" s="49">
        <f>SUBTOTAL(9,AU48:AU49)</f>
        <v>0</v>
      </c>
      <c r="AV50" s="49">
        <f t="shared" si="70"/>
        <v>0</v>
      </c>
      <c r="AW50" s="49">
        <f t="shared" si="70"/>
        <v>0</v>
      </c>
      <c r="AX50" s="49">
        <f t="shared" si="70"/>
        <v>0</v>
      </c>
      <c r="AY50" s="49">
        <f t="shared" si="70"/>
        <v>0</v>
      </c>
      <c r="AZ50" s="44">
        <f t="shared" si="70"/>
        <v>265</v>
      </c>
      <c r="BA50" s="48">
        <f t="shared" si="70"/>
        <v>620</v>
      </c>
      <c r="BB50" s="48">
        <f t="shared" si="70"/>
        <v>0</v>
      </c>
      <c r="BC50" s="44">
        <f t="shared" si="70"/>
        <v>0</v>
      </c>
      <c r="BD50" s="44">
        <f t="shared" si="70"/>
        <v>0</v>
      </c>
      <c r="BE50" s="49">
        <f t="shared" si="70"/>
        <v>0</v>
      </c>
      <c r="BF50" s="49">
        <f>SUBTOTAL(9,BF48:BF49)</f>
        <v>0</v>
      </c>
      <c r="BG50" s="49">
        <f t="shared" si="70"/>
        <v>0</v>
      </c>
      <c r="BH50" s="49">
        <f t="shared" si="70"/>
        <v>0</v>
      </c>
      <c r="BI50" s="49">
        <f t="shared" si="70"/>
        <v>0</v>
      </c>
      <c r="BJ50" s="49">
        <f t="shared" si="70"/>
        <v>0</v>
      </c>
      <c r="BK50" s="49">
        <f t="shared" si="70"/>
        <v>0</v>
      </c>
      <c r="BL50" s="49">
        <f t="shared" si="70"/>
        <v>0</v>
      </c>
      <c r="BM50" s="49">
        <f t="shared" si="70"/>
        <v>0</v>
      </c>
      <c r="BN50" s="49">
        <f t="shared" si="70"/>
        <v>0</v>
      </c>
      <c r="BO50" s="49">
        <f t="shared" si="70"/>
        <v>0</v>
      </c>
      <c r="BP50" s="49">
        <f t="shared" si="70"/>
        <v>0</v>
      </c>
      <c r="BQ50" s="49">
        <f t="shared" si="70"/>
        <v>0</v>
      </c>
      <c r="BR50" s="44">
        <f>SUBTOTAL(9,BR48:BR49)</f>
        <v>885</v>
      </c>
    </row>
    <row r="51" spans="1:97">
      <c r="A51" s="175">
        <f>+A48+1</f>
        <v>43266</v>
      </c>
      <c r="B51" s="16" t="s">
        <v>43</v>
      </c>
      <c r="C51" s="33" t="s">
        <v>157</v>
      </c>
      <c r="D51" s="34"/>
      <c r="E51" s="34"/>
      <c r="F51" s="171"/>
      <c r="G51" s="33">
        <f>IF(E51-D51&lt;0,E51-D51,0)*-1</f>
        <v>0</v>
      </c>
      <c r="H51" s="33">
        <f>IF(E51-D51&gt;0,E51-D51,0)</f>
        <v>0</v>
      </c>
      <c r="I51" s="34"/>
      <c r="J51" s="34"/>
      <c r="K51" s="34"/>
      <c r="L51" s="34"/>
      <c r="M51" s="36">
        <f>(+K51)*M$5</f>
        <v>0</v>
      </c>
      <c r="N51" s="36">
        <f>(+K51)*N$5</f>
        <v>0</v>
      </c>
      <c r="O51" s="36">
        <f>+K51-M51-N51+P51</f>
        <v>0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/>
      <c r="AA51" s="34"/>
      <c r="AB51" s="34"/>
      <c r="AC51" s="34"/>
      <c r="AD51" s="38"/>
      <c r="AE51" s="38"/>
      <c r="AF51" s="34"/>
      <c r="AG51" s="33">
        <f>(AF51*0.8)*0.85</f>
        <v>0</v>
      </c>
      <c r="AH51" s="33">
        <f>(AF51*0.8)*0.15</f>
        <v>0</v>
      </c>
      <c r="AI51" s="33">
        <f>AF51*0.2</f>
        <v>0</v>
      </c>
      <c r="AJ51" s="34"/>
      <c r="AK51" s="33">
        <v>0</v>
      </c>
      <c r="AL51" s="33">
        <f>AK51-SUM(Y51:AC51)</f>
        <v>0</v>
      </c>
      <c r="AM51" s="33">
        <f>+AL51*0.12</f>
        <v>0</v>
      </c>
      <c r="AN51" s="33">
        <f t="shared" si="58"/>
        <v>0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>
      <c r="A52" s="176"/>
      <c r="B52" s="16" t="s">
        <v>44</v>
      </c>
      <c r="C52" s="33"/>
      <c r="D52" s="34"/>
      <c r="E52" s="34"/>
      <c r="F52" s="171"/>
      <c r="G52" s="33">
        <f>IF(E52-D52&lt;0,E52-D52,0)*-1</f>
        <v>0</v>
      </c>
      <c r="H52" s="33">
        <f>IF(E52-D52&gt;0,E52-D52,0)</f>
        <v>0</v>
      </c>
      <c r="I52" s="34"/>
      <c r="J52" s="34"/>
      <c r="K52" s="34"/>
      <c r="L52" s="34"/>
      <c r="M52" s="36">
        <f>(+K52)*M$5</f>
        <v>0</v>
      </c>
      <c r="N52" s="36">
        <f>(+K52)*N$5</f>
        <v>0</v>
      </c>
      <c r="O52" s="36">
        <f>+K52-M52-N52+P52</f>
        <v>0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/>
      <c r="AA52" s="34"/>
      <c r="AB52" s="34"/>
      <c r="AC52" s="34"/>
      <c r="AD52" s="38"/>
      <c r="AE52" s="38"/>
      <c r="AF52" s="34"/>
      <c r="AG52" s="33">
        <f>(AF52*0.8)*0.85</f>
        <v>0</v>
      </c>
      <c r="AH52" s="33">
        <f>(AF52*0.8)*0.15</f>
        <v>0</v>
      </c>
      <c r="AI52" s="33">
        <f>AF52*0.2</f>
        <v>0</v>
      </c>
      <c r="AJ52" s="34"/>
      <c r="AK52" s="33">
        <f>(C52-AF52-AJ52)/1.12</f>
        <v>0</v>
      </c>
      <c r="AL52" s="33">
        <f>AK52-SUM(Y52:AC52)</f>
        <v>0</v>
      </c>
      <c r="AM52" s="33">
        <f>+AL52*0.12</f>
        <v>0</v>
      </c>
      <c r="AN52" s="33">
        <f>+AM52+AL52+AJ52</f>
        <v>0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.75" thickBot="1">
      <c r="A53" s="42"/>
      <c r="B53" s="43"/>
      <c r="C53" s="44">
        <f>SUBTOTAL(9,C51:C52)</f>
        <v>0</v>
      </c>
      <c r="D53" s="45">
        <f>SUBTOTAL(9,D51:D52)</f>
        <v>0</v>
      </c>
      <c r="E53" s="45">
        <f>SUBTOTAL(9,E51:E52)</f>
        <v>0</v>
      </c>
      <c r="F53" s="172"/>
      <c r="G53" s="45">
        <f t="shared" ref="G53:P53" si="71">SUBTOTAL(9,G51:G52)</f>
        <v>0</v>
      </c>
      <c r="H53" s="45">
        <f t="shared" si="71"/>
        <v>0</v>
      </c>
      <c r="I53" s="162">
        <f t="shared" si="71"/>
        <v>0</v>
      </c>
      <c r="J53" s="162">
        <f t="shared" si="71"/>
        <v>0</v>
      </c>
      <c r="K53" s="162">
        <f t="shared" si="71"/>
        <v>0</v>
      </c>
      <c r="L53" s="162">
        <f t="shared" si="71"/>
        <v>0</v>
      </c>
      <c r="M53" s="46">
        <f t="shared" si="71"/>
        <v>0</v>
      </c>
      <c r="N53" s="46">
        <f t="shared" si="71"/>
        <v>0</v>
      </c>
      <c r="O53" s="46">
        <f t="shared" si="71"/>
        <v>0</v>
      </c>
      <c r="P53" s="46">
        <f t="shared" si="71"/>
        <v>0</v>
      </c>
      <c r="Q53" s="47"/>
      <c r="R53" s="45">
        <f t="shared" ref="R53:BQ53" si="72">SUBTOTAL(9,R51:R52)</f>
        <v>0</v>
      </c>
      <c r="S53" s="45">
        <f t="shared" si="72"/>
        <v>0</v>
      </c>
      <c r="T53" s="46">
        <f t="shared" si="72"/>
        <v>0</v>
      </c>
      <c r="U53" s="46">
        <f t="shared" si="72"/>
        <v>0</v>
      </c>
      <c r="V53" s="46">
        <f t="shared" si="72"/>
        <v>0</v>
      </c>
      <c r="W53" s="46">
        <f t="shared" si="72"/>
        <v>0</v>
      </c>
      <c r="X53" s="47"/>
      <c r="Y53" s="45">
        <f>SUBTOTAL(9,Y51:Y52)</f>
        <v>0</v>
      </c>
      <c r="Z53" s="45"/>
      <c r="AA53" s="45"/>
      <c r="AB53" s="45"/>
      <c r="AC53" s="45"/>
      <c r="AD53" s="48"/>
      <c r="AE53" s="48"/>
      <c r="AF53" s="45"/>
      <c r="AG53" s="44">
        <f t="shared" si="72"/>
        <v>0</v>
      </c>
      <c r="AH53" s="44">
        <f t="shared" si="72"/>
        <v>0</v>
      </c>
      <c r="AI53" s="44">
        <f t="shared" si="72"/>
        <v>0</v>
      </c>
      <c r="AJ53" s="45">
        <f t="shared" si="72"/>
        <v>0</v>
      </c>
      <c r="AK53" s="44">
        <f t="shared" si="72"/>
        <v>0</v>
      </c>
      <c r="AL53" s="44">
        <f t="shared" si="72"/>
        <v>0</v>
      </c>
      <c r="AM53" s="44">
        <f t="shared" si="72"/>
        <v>0</v>
      </c>
      <c r="AN53" s="44">
        <f t="shared" si="58"/>
        <v>0</v>
      </c>
      <c r="AO53" s="49">
        <f t="shared" si="72"/>
        <v>0</v>
      </c>
      <c r="AP53" s="49">
        <f t="shared" si="72"/>
        <v>0</v>
      </c>
      <c r="AQ53" s="49">
        <f t="shared" si="72"/>
        <v>0</v>
      </c>
      <c r="AR53" s="49">
        <f t="shared" si="72"/>
        <v>0</v>
      </c>
      <c r="AS53" s="49">
        <f t="shared" si="72"/>
        <v>0</v>
      </c>
      <c r="AT53" s="49">
        <f t="shared" si="72"/>
        <v>0</v>
      </c>
      <c r="AU53" s="49">
        <f>SUBTOTAL(9,AU51:AU52)</f>
        <v>0</v>
      </c>
      <c r="AV53" s="49">
        <f t="shared" si="72"/>
        <v>0</v>
      </c>
      <c r="AW53" s="49">
        <f t="shared" si="72"/>
        <v>0</v>
      </c>
      <c r="AX53" s="49">
        <f t="shared" si="72"/>
        <v>0</v>
      </c>
      <c r="AY53" s="49">
        <f t="shared" si="72"/>
        <v>0</v>
      </c>
      <c r="AZ53" s="44">
        <f t="shared" si="72"/>
        <v>0</v>
      </c>
      <c r="BA53" s="48">
        <f t="shared" si="72"/>
        <v>0</v>
      </c>
      <c r="BB53" s="48">
        <f t="shared" si="72"/>
        <v>0</v>
      </c>
      <c r="BC53" s="44">
        <f t="shared" si="72"/>
        <v>0</v>
      </c>
      <c r="BD53" s="44">
        <f t="shared" si="72"/>
        <v>0</v>
      </c>
      <c r="BE53" s="49">
        <f t="shared" si="72"/>
        <v>0</v>
      </c>
      <c r="BF53" s="49">
        <f>SUBTOTAL(9,BF51:BF52)</f>
        <v>0</v>
      </c>
      <c r="BG53" s="49">
        <f t="shared" si="72"/>
        <v>0</v>
      </c>
      <c r="BH53" s="49">
        <f t="shared" si="72"/>
        <v>0</v>
      </c>
      <c r="BI53" s="49">
        <f t="shared" si="72"/>
        <v>0</v>
      </c>
      <c r="BJ53" s="49">
        <f t="shared" si="72"/>
        <v>0</v>
      </c>
      <c r="BK53" s="49">
        <f t="shared" si="72"/>
        <v>0</v>
      </c>
      <c r="BL53" s="49">
        <f t="shared" si="72"/>
        <v>0</v>
      </c>
      <c r="BM53" s="49">
        <f t="shared" si="72"/>
        <v>0</v>
      </c>
      <c r="BN53" s="49">
        <f t="shared" si="72"/>
        <v>0</v>
      </c>
      <c r="BO53" s="49">
        <f t="shared" si="72"/>
        <v>0</v>
      </c>
      <c r="BP53" s="49">
        <f t="shared" si="72"/>
        <v>0</v>
      </c>
      <c r="BQ53" s="49">
        <f t="shared" si="72"/>
        <v>0</v>
      </c>
      <c r="BR53" s="44">
        <f>SUBTOTAL(9,BR51:BR52)</f>
        <v>0</v>
      </c>
    </row>
    <row r="54" spans="1:97">
      <c r="A54" s="175">
        <f>+A51+1</f>
        <v>43267</v>
      </c>
      <c r="B54" s="16" t="s">
        <v>43</v>
      </c>
      <c r="C54" s="33" t="s">
        <v>155</v>
      </c>
      <c r="D54" s="34"/>
      <c r="E54" s="34"/>
      <c r="F54" s="171"/>
      <c r="G54" s="33">
        <f>IF(E54-D54&lt;0,E54-D54,0)*-1</f>
        <v>0</v>
      </c>
      <c r="H54" s="33">
        <f>IF(E54-D54&gt;0,E54-D54,0)</f>
        <v>0</v>
      </c>
      <c r="I54" s="34"/>
      <c r="J54" s="34"/>
      <c r="K54" s="34"/>
      <c r="L54" s="34"/>
      <c r="M54" s="36">
        <f>(+K54)*M$5</f>
        <v>0</v>
      </c>
      <c r="N54" s="36">
        <f>(+K54)*N$5</f>
        <v>0</v>
      </c>
      <c r="O54" s="36">
        <f>+K54-M54-N54+P54</f>
        <v>0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/>
      <c r="AA54" s="34"/>
      <c r="AB54" s="34"/>
      <c r="AC54" s="34"/>
      <c r="AD54" s="38"/>
      <c r="AE54" s="38"/>
      <c r="AF54" s="34"/>
      <c r="AG54" s="33">
        <f>(AF54*0.8)*0.85</f>
        <v>0</v>
      </c>
      <c r="AH54" s="33">
        <f>(AF54*0.8)*0.15</f>
        <v>0</v>
      </c>
      <c r="AI54" s="33">
        <f>AF54*0.2</f>
        <v>0</v>
      </c>
      <c r="AJ54" s="34"/>
      <c r="AK54" s="33">
        <v>0</v>
      </c>
      <c r="AL54" s="33">
        <f>AK54-SUM(Y54:AC54)</f>
        <v>0</v>
      </c>
      <c r="AM54" s="33">
        <f>+AL54*0.12</f>
        <v>0</v>
      </c>
      <c r="AN54" s="33">
        <f t="shared" si="58"/>
        <v>0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.75" thickBot="1">
      <c r="A55" s="176"/>
      <c r="B55" s="16" t="s">
        <v>44</v>
      </c>
      <c r="C55" s="33">
        <v>7460.27</v>
      </c>
      <c r="D55" s="34">
        <v>7460.27</v>
      </c>
      <c r="E55" s="34">
        <v>7461</v>
      </c>
      <c r="F55" s="171">
        <v>43269</v>
      </c>
      <c r="G55" s="33">
        <f>IF(E55-D55&lt;0,E55-D55,0)*-1</f>
        <v>0</v>
      </c>
      <c r="H55" s="33">
        <f>IF(E55-D55&gt;0,E55-D55,0)</f>
        <v>0.72999999999956344</v>
      </c>
      <c r="I55" s="34"/>
      <c r="J55" s="34"/>
      <c r="K55" s="34">
        <v>0</v>
      </c>
      <c r="L55" s="34"/>
      <c r="M55" s="36">
        <f>(+K55)*M$5</f>
        <v>0</v>
      </c>
      <c r="N55" s="36">
        <f>(+K55)*N$5</f>
        <v>0</v>
      </c>
      <c r="O55" s="36">
        <f>+K55-M55-N55+P55</f>
        <v>0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/>
      <c r="AA55" s="34"/>
      <c r="AB55" s="34"/>
      <c r="AC55" s="34"/>
      <c r="AD55" s="38"/>
      <c r="AE55" s="38"/>
      <c r="AF55" s="34">
        <v>485.27</v>
      </c>
      <c r="AG55" s="33">
        <f>(AF55*0.8)*0.85</f>
        <v>329.98360000000002</v>
      </c>
      <c r="AH55" s="33">
        <f>(AF55*0.8)*0.15</f>
        <v>58.232399999999998</v>
      </c>
      <c r="AI55" s="33">
        <f>AF55*0.2</f>
        <v>97.054000000000002</v>
      </c>
      <c r="AJ55" s="34"/>
      <c r="AK55" s="33">
        <f>(C55-AF55-AJ55)/1.12</f>
        <v>6227.6785714285706</v>
      </c>
      <c r="AL55" s="33">
        <f>AK55-SUM(Y55:AC55)</f>
        <v>6227.6785714285706</v>
      </c>
      <c r="AM55" s="33">
        <f>+AL55*0.12</f>
        <v>747.32142857142844</v>
      </c>
      <c r="AN55" s="33">
        <f t="shared" si="58"/>
        <v>6974.9999999999991</v>
      </c>
      <c r="AO55" s="39">
        <v>560</v>
      </c>
      <c r="AP55" s="40"/>
      <c r="AQ55" s="40"/>
      <c r="AR55" s="40">
        <v>490</v>
      </c>
      <c r="AS55" s="40"/>
      <c r="AT55" s="40"/>
      <c r="AU55" s="40"/>
      <c r="AV55" s="40"/>
      <c r="AW55" s="40"/>
      <c r="AX55" s="40"/>
      <c r="AY55" s="40"/>
      <c r="AZ55" s="33">
        <f>SUM(AO55:AY55)</f>
        <v>1050</v>
      </c>
      <c r="BA55" s="38"/>
      <c r="BB55" s="38"/>
      <c r="BC55" s="33">
        <v>0</v>
      </c>
      <c r="BD55" s="33">
        <v>0</v>
      </c>
      <c r="BE55" s="39"/>
      <c r="BF55" s="39"/>
      <c r="BG55" s="39">
        <v>495</v>
      </c>
      <c r="BH55" s="39"/>
      <c r="BI55" s="39"/>
      <c r="BJ55" s="39"/>
      <c r="BK55" s="39"/>
      <c r="BL55" s="39"/>
      <c r="BM55" s="39">
        <v>155</v>
      </c>
      <c r="BN55" s="39"/>
      <c r="BO55" s="39"/>
      <c r="BP55" s="39"/>
      <c r="BQ55" s="39"/>
      <c r="BR55" s="41">
        <f>AZ55+BA55+BB55+BD55-BC55</f>
        <v>1050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>
      <c r="A56" s="42"/>
      <c r="B56" s="43"/>
      <c r="C56" s="44">
        <f>SUBTOTAL(9,C54:C55)</f>
        <v>7460.27</v>
      </c>
      <c r="D56" s="45">
        <f>SUBTOTAL(9,D54:D55)</f>
        <v>7460.27</v>
      </c>
      <c r="E56" s="45">
        <f>SUBTOTAL(9,E54:E55)</f>
        <v>7461</v>
      </c>
      <c r="F56" s="172"/>
      <c r="G56" s="45">
        <f t="shared" ref="G56:P56" si="73">SUBTOTAL(9,G54:G55)</f>
        <v>0</v>
      </c>
      <c r="H56" s="45">
        <f t="shared" si="73"/>
        <v>0.72999999999956344</v>
      </c>
      <c r="I56" s="162">
        <f t="shared" si="73"/>
        <v>0</v>
      </c>
      <c r="J56" s="162">
        <f t="shared" si="73"/>
        <v>0</v>
      </c>
      <c r="K56" s="162">
        <f t="shared" si="73"/>
        <v>0</v>
      </c>
      <c r="L56" s="162">
        <f t="shared" si="73"/>
        <v>0</v>
      </c>
      <c r="M56" s="46">
        <f t="shared" si="73"/>
        <v>0</v>
      </c>
      <c r="N56" s="46">
        <f t="shared" si="73"/>
        <v>0</v>
      </c>
      <c r="O56" s="46">
        <f t="shared" si="73"/>
        <v>0</v>
      </c>
      <c r="P56" s="46">
        <f t="shared" si="73"/>
        <v>0</v>
      </c>
      <c r="Q56" s="47"/>
      <c r="R56" s="45">
        <f t="shared" ref="R56:BQ56" si="74">SUBTOTAL(9,R54:R55)</f>
        <v>0</v>
      </c>
      <c r="S56" s="45">
        <f t="shared" si="74"/>
        <v>0</v>
      </c>
      <c r="T56" s="46">
        <f t="shared" si="74"/>
        <v>0</v>
      </c>
      <c r="U56" s="46">
        <f t="shared" si="74"/>
        <v>0</v>
      </c>
      <c r="V56" s="46">
        <f t="shared" si="74"/>
        <v>0</v>
      </c>
      <c r="W56" s="46">
        <f t="shared" si="74"/>
        <v>0</v>
      </c>
      <c r="X56" s="47"/>
      <c r="Y56" s="45">
        <f>SUBTOTAL(9,Y54:Y55)</f>
        <v>0</v>
      </c>
      <c r="Z56" s="45"/>
      <c r="AA56" s="45"/>
      <c r="AB56" s="45"/>
      <c r="AC56" s="45"/>
      <c r="AD56" s="48"/>
      <c r="AE56" s="48"/>
      <c r="AF56" s="45"/>
      <c r="AG56" s="44">
        <f t="shared" si="74"/>
        <v>329.98360000000002</v>
      </c>
      <c r="AH56" s="44">
        <f t="shared" si="74"/>
        <v>58.232399999999998</v>
      </c>
      <c r="AI56" s="44">
        <f t="shared" si="74"/>
        <v>97.054000000000002</v>
      </c>
      <c r="AJ56" s="45">
        <f t="shared" si="74"/>
        <v>0</v>
      </c>
      <c r="AK56" s="44">
        <f t="shared" si="74"/>
        <v>6227.6785714285706</v>
      </c>
      <c r="AL56" s="44">
        <f t="shared" si="74"/>
        <v>6227.6785714285706</v>
      </c>
      <c r="AM56" s="44">
        <f t="shared" si="74"/>
        <v>747.32142857142844</v>
      </c>
      <c r="AN56" s="44">
        <f t="shared" si="58"/>
        <v>6974.9999999999991</v>
      </c>
      <c r="AO56" s="49">
        <f t="shared" si="74"/>
        <v>560</v>
      </c>
      <c r="AP56" s="49">
        <f t="shared" si="74"/>
        <v>0</v>
      </c>
      <c r="AQ56" s="49">
        <f t="shared" si="74"/>
        <v>0</v>
      </c>
      <c r="AR56" s="49">
        <f t="shared" si="74"/>
        <v>490</v>
      </c>
      <c r="AS56" s="49">
        <f t="shared" si="74"/>
        <v>0</v>
      </c>
      <c r="AT56" s="49">
        <f t="shared" si="74"/>
        <v>0</v>
      </c>
      <c r="AU56" s="49">
        <f>SUBTOTAL(9,AU54:AU55)</f>
        <v>0</v>
      </c>
      <c r="AV56" s="49">
        <f t="shared" si="74"/>
        <v>0</v>
      </c>
      <c r="AW56" s="49">
        <f t="shared" si="74"/>
        <v>0</v>
      </c>
      <c r="AX56" s="49">
        <f t="shared" si="74"/>
        <v>0</v>
      </c>
      <c r="AY56" s="49">
        <f t="shared" si="74"/>
        <v>0</v>
      </c>
      <c r="AZ56" s="44">
        <f t="shared" si="74"/>
        <v>1050</v>
      </c>
      <c r="BA56" s="48">
        <f t="shared" si="74"/>
        <v>0</v>
      </c>
      <c r="BB56" s="48">
        <f t="shared" si="74"/>
        <v>0</v>
      </c>
      <c r="BC56" s="44">
        <f t="shared" si="74"/>
        <v>0</v>
      </c>
      <c r="BD56" s="44">
        <f t="shared" si="74"/>
        <v>0</v>
      </c>
      <c r="BE56" s="49">
        <f t="shared" si="74"/>
        <v>0</v>
      </c>
      <c r="BF56" s="49">
        <f>SUBTOTAL(9,BF54:BF55)</f>
        <v>0</v>
      </c>
      <c r="BG56" s="49">
        <f t="shared" si="74"/>
        <v>495</v>
      </c>
      <c r="BH56" s="49">
        <f t="shared" si="74"/>
        <v>0</v>
      </c>
      <c r="BI56" s="49">
        <f t="shared" si="74"/>
        <v>0</v>
      </c>
      <c r="BJ56" s="49">
        <f t="shared" si="74"/>
        <v>0</v>
      </c>
      <c r="BK56" s="49">
        <f t="shared" si="74"/>
        <v>0</v>
      </c>
      <c r="BL56" s="49">
        <f t="shared" si="74"/>
        <v>0</v>
      </c>
      <c r="BM56" s="49">
        <f t="shared" si="74"/>
        <v>155</v>
      </c>
      <c r="BN56" s="49">
        <f t="shared" si="74"/>
        <v>0</v>
      </c>
      <c r="BO56" s="49">
        <f t="shared" si="74"/>
        <v>0</v>
      </c>
      <c r="BP56" s="49">
        <f t="shared" si="74"/>
        <v>0</v>
      </c>
      <c r="BQ56" s="49">
        <f t="shared" si="74"/>
        <v>0</v>
      </c>
      <c r="BR56" s="44">
        <f>SUBTOTAL(9,BR54:BR55)</f>
        <v>1050</v>
      </c>
    </row>
    <row r="57" spans="1:97">
      <c r="A57" s="175">
        <f>+A54+1</f>
        <v>43268</v>
      </c>
      <c r="B57" s="16" t="s">
        <v>43</v>
      </c>
      <c r="C57" s="33" t="s">
        <v>156</v>
      </c>
      <c r="D57" s="34"/>
      <c r="E57" s="34"/>
      <c r="F57" s="171"/>
      <c r="G57" s="33"/>
      <c r="H57" s="33">
        <f>IF(E57-D57&gt;0,E57-D57,0)</f>
        <v>0</v>
      </c>
      <c r="I57" s="34"/>
      <c r="J57" s="34"/>
      <c r="K57" s="34"/>
      <c r="L57" s="34"/>
      <c r="M57" s="36">
        <f>(+K57)*M$5</f>
        <v>0</v>
      </c>
      <c r="N57" s="36">
        <f>(+K57)*N$5</f>
        <v>0</v>
      </c>
      <c r="O57" s="36">
        <f>+K57-M57-N57+P57</f>
        <v>0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/>
      <c r="AA57" s="34"/>
      <c r="AB57" s="34"/>
      <c r="AC57" s="34"/>
      <c r="AD57" s="38"/>
      <c r="AE57" s="38"/>
      <c r="AF57" s="34"/>
      <c r="AG57" s="33">
        <f>(AF57*0.8)*0.85</f>
        <v>0</v>
      </c>
      <c r="AH57" s="33">
        <f>(AF57*0.8)*0.15</f>
        <v>0</v>
      </c>
      <c r="AI57" s="33">
        <f>AF57*0.2</f>
        <v>0</v>
      </c>
      <c r="AJ57" s="34"/>
      <c r="AK57" s="33">
        <v>0</v>
      </c>
      <c r="AL57" s="33">
        <f>AK57-SUM(Y57:AC57)</f>
        <v>0</v>
      </c>
      <c r="AM57" s="33">
        <f>+AL57*0.12</f>
        <v>0</v>
      </c>
      <c r="AN57" s="33">
        <f t="shared" ref="AN57:AN58" si="75">+AM57+AL57+AJ57</f>
        <v>0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>
      <c r="A58" s="176"/>
      <c r="B58" s="16" t="s">
        <v>44</v>
      </c>
      <c r="C58" s="169"/>
      <c r="D58" s="34"/>
      <c r="E58" s="34"/>
      <c r="F58" s="171"/>
      <c r="G58" s="33"/>
      <c r="H58" s="33">
        <f>IF(E58-D58&gt;0,E58-D58,0)</f>
        <v>0</v>
      </c>
      <c r="I58" s="34"/>
      <c r="J58" s="34"/>
      <c r="K58" s="34"/>
      <c r="L58" s="34"/>
      <c r="M58" s="36">
        <f>(+K58)*M$5</f>
        <v>0</v>
      </c>
      <c r="N58" s="36">
        <f>(+K58)*N$5</f>
        <v>0</v>
      </c>
      <c r="O58" s="36">
        <f>+K58-M58-N58+P58</f>
        <v>0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/>
      <c r="AA58" s="34"/>
      <c r="AB58" s="34"/>
      <c r="AC58" s="34"/>
      <c r="AD58" s="38"/>
      <c r="AE58" s="38"/>
      <c r="AF58" s="34"/>
      <c r="AG58" s="33">
        <f>(AF58*0.8)*0.85</f>
        <v>0</v>
      </c>
      <c r="AH58" s="33">
        <f>(AF58*0.8)*0.15</f>
        <v>0</v>
      </c>
      <c r="AI58" s="33">
        <f>AF58*0.2</f>
        <v>0</v>
      </c>
      <c r="AJ58" s="34"/>
      <c r="AK58" s="33">
        <f>(C58-AF58-AJ58)/1.12</f>
        <v>0</v>
      </c>
      <c r="AL58" s="33">
        <f>AK58-SUM(Y58:AC58)</f>
        <v>0</v>
      </c>
      <c r="AM58" s="33">
        <f>+AL58*0.12</f>
        <v>0</v>
      </c>
      <c r="AN58" s="33">
        <f t="shared" si="75"/>
        <v>0</v>
      </c>
      <c r="AO58" s="39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/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.75" thickBot="1">
      <c r="A59" s="42"/>
      <c r="B59" s="43"/>
      <c r="C59" s="44">
        <f>SUBTOTAL(9,C57:C58)</f>
        <v>0</v>
      </c>
      <c r="D59" s="45">
        <f>SUBTOTAL(9,D57:D58)</f>
        <v>0</v>
      </c>
      <c r="E59" s="45">
        <f>SUBTOTAL(9,E57:E58)</f>
        <v>0</v>
      </c>
      <c r="F59" s="172"/>
      <c r="G59" s="45">
        <f t="shared" ref="G59:P59" si="76">SUBTOTAL(9,G57:G58)</f>
        <v>0</v>
      </c>
      <c r="H59" s="45">
        <f t="shared" si="76"/>
        <v>0</v>
      </c>
      <c r="I59" s="162">
        <f t="shared" si="76"/>
        <v>0</v>
      </c>
      <c r="J59" s="162">
        <f t="shared" si="76"/>
        <v>0</v>
      </c>
      <c r="K59" s="162">
        <f t="shared" si="76"/>
        <v>0</v>
      </c>
      <c r="L59" s="162">
        <f t="shared" si="76"/>
        <v>0</v>
      </c>
      <c r="M59" s="46">
        <f t="shared" si="76"/>
        <v>0</v>
      </c>
      <c r="N59" s="46">
        <f t="shared" si="76"/>
        <v>0</v>
      </c>
      <c r="O59" s="46">
        <f t="shared" si="76"/>
        <v>0</v>
      </c>
      <c r="P59" s="46">
        <f t="shared" si="76"/>
        <v>0</v>
      </c>
      <c r="Q59" s="47"/>
      <c r="R59" s="45">
        <f t="shared" ref="R59:BQ59" si="77">SUBTOTAL(9,R57:R58)</f>
        <v>0</v>
      </c>
      <c r="S59" s="45">
        <f t="shared" si="77"/>
        <v>0</v>
      </c>
      <c r="T59" s="46">
        <f t="shared" si="77"/>
        <v>0</v>
      </c>
      <c r="U59" s="46">
        <f t="shared" si="77"/>
        <v>0</v>
      </c>
      <c r="V59" s="46">
        <f t="shared" si="77"/>
        <v>0</v>
      </c>
      <c r="W59" s="46">
        <f t="shared" si="77"/>
        <v>0</v>
      </c>
      <c r="X59" s="47"/>
      <c r="Y59" s="45">
        <f>SUBTOTAL(9,Y57:Y58)</f>
        <v>0</v>
      </c>
      <c r="Z59" s="45"/>
      <c r="AA59" s="45"/>
      <c r="AB59" s="45"/>
      <c r="AC59" s="45"/>
      <c r="AD59" s="48"/>
      <c r="AE59" s="48"/>
      <c r="AF59" s="45"/>
      <c r="AG59" s="44">
        <f t="shared" si="77"/>
        <v>0</v>
      </c>
      <c r="AH59" s="44">
        <f t="shared" si="77"/>
        <v>0</v>
      </c>
      <c r="AI59" s="44">
        <f t="shared" si="77"/>
        <v>0</v>
      </c>
      <c r="AJ59" s="45">
        <f t="shared" si="77"/>
        <v>0</v>
      </c>
      <c r="AK59" s="44">
        <f t="shared" si="77"/>
        <v>0</v>
      </c>
      <c r="AL59" s="44">
        <f t="shared" si="77"/>
        <v>0</v>
      </c>
      <c r="AM59" s="44">
        <f t="shared" si="77"/>
        <v>0</v>
      </c>
      <c r="AN59" s="44">
        <f t="shared" si="58"/>
        <v>0</v>
      </c>
      <c r="AO59" s="49">
        <f t="shared" si="77"/>
        <v>0</v>
      </c>
      <c r="AP59" s="49">
        <f t="shared" si="77"/>
        <v>0</v>
      </c>
      <c r="AQ59" s="49">
        <f t="shared" si="77"/>
        <v>0</v>
      </c>
      <c r="AR59" s="49">
        <f t="shared" si="77"/>
        <v>0</v>
      </c>
      <c r="AS59" s="49">
        <f t="shared" si="77"/>
        <v>0</v>
      </c>
      <c r="AT59" s="49">
        <f t="shared" si="77"/>
        <v>0</v>
      </c>
      <c r="AU59" s="49">
        <f>SUBTOTAL(9,AU57:AU58)</f>
        <v>0</v>
      </c>
      <c r="AV59" s="49">
        <f t="shared" si="77"/>
        <v>0</v>
      </c>
      <c r="AW59" s="49">
        <f t="shared" si="77"/>
        <v>0</v>
      </c>
      <c r="AX59" s="49">
        <f t="shared" si="77"/>
        <v>0</v>
      </c>
      <c r="AY59" s="49">
        <f t="shared" si="77"/>
        <v>0</v>
      </c>
      <c r="AZ59" s="44">
        <f t="shared" si="77"/>
        <v>0</v>
      </c>
      <c r="BA59" s="48">
        <f t="shared" si="77"/>
        <v>0</v>
      </c>
      <c r="BB59" s="48">
        <f t="shared" si="77"/>
        <v>0</v>
      </c>
      <c r="BC59" s="44">
        <f t="shared" si="77"/>
        <v>0</v>
      </c>
      <c r="BD59" s="44">
        <f t="shared" si="77"/>
        <v>0</v>
      </c>
      <c r="BE59" s="49">
        <f t="shared" si="77"/>
        <v>0</v>
      </c>
      <c r="BF59" s="49">
        <f>SUBTOTAL(9,BF57:BF58)</f>
        <v>0</v>
      </c>
      <c r="BG59" s="49">
        <f t="shared" si="77"/>
        <v>0</v>
      </c>
      <c r="BH59" s="49">
        <f t="shared" si="77"/>
        <v>0</v>
      </c>
      <c r="BI59" s="49">
        <f t="shared" si="77"/>
        <v>0</v>
      </c>
      <c r="BJ59" s="49">
        <f t="shared" si="77"/>
        <v>0</v>
      </c>
      <c r="BK59" s="49">
        <f t="shared" si="77"/>
        <v>0</v>
      </c>
      <c r="BL59" s="49">
        <f t="shared" si="77"/>
        <v>0</v>
      </c>
      <c r="BM59" s="49">
        <f t="shared" si="77"/>
        <v>0</v>
      </c>
      <c r="BN59" s="49">
        <f t="shared" si="77"/>
        <v>0</v>
      </c>
      <c r="BO59" s="49">
        <f t="shared" si="77"/>
        <v>0</v>
      </c>
      <c r="BP59" s="49">
        <f t="shared" si="77"/>
        <v>0</v>
      </c>
      <c r="BQ59" s="49">
        <f t="shared" si="77"/>
        <v>0</v>
      </c>
      <c r="BR59" s="44">
        <f>SUBTOTAL(9,BR57:BR58)</f>
        <v>0</v>
      </c>
    </row>
    <row r="60" spans="1:97">
      <c r="A60" s="175">
        <f>A57+1</f>
        <v>43269</v>
      </c>
      <c r="B60" s="16" t="s">
        <v>43</v>
      </c>
      <c r="C60" s="33">
        <v>10704.36</v>
      </c>
      <c r="D60" s="34">
        <v>8202.25</v>
      </c>
      <c r="E60" s="34">
        <v>8202</v>
      </c>
      <c r="F60" s="171">
        <v>43269</v>
      </c>
      <c r="G60" s="33"/>
      <c r="H60" s="33">
        <f>IF(E60-D60&gt;0,E60-D60,0)</f>
        <v>0</v>
      </c>
      <c r="I60" s="34"/>
      <c r="J60" s="34"/>
      <c r="K60" s="34">
        <v>2360.1799999999998</v>
      </c>
      <c r="L60" s="34"/>
      <c r="M60" s="36">
        <f>(+K60)*M$5</f>
        <v>50.743869999999994</v>
      </c>
      <c r="N60" s="36">
        <f>(+K60)*N$5</f>
        <v>11.800899999999999</v>
      </c>
      <c r="O60" s="36">
        <f>+K60-M60-N60+P60</f>
        <v>2297.6352299999999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v>33</v>
      </c>
      <c r="AA60" s="34"/>
      <c r="AB60" s="34"/>
      <c r="AC60" s="34">
        <v>108.93</v>
      </c>
      <c r="AD60" s="38"/>
      <c r="AE60" s="38"/>
      <c r="AF60" s="34">
        <v>804.72</v>
      </c>
      <c r="AG60" s="33">
        <f>(AF60*0.8)*0.85</f>
        <v>547.20960000000002</v>
      </c>
      <c r="AH60" s="33">
        <f>(AF60*0.8)*0.15</f>
        <v>96.566400000000002</v>
      </c>
      <c r="AI60" s="33">
        <f>AF60*0.2</f>
        <v>160.94400000000002</v>
      </c>
      <c r="AJ60" s="34"/>
      <c r="AK60" s="33">
        <f t="shared" ref="AK60:AK61" si="78">(C60-AF60-AJ60)/1.12</f>
        <v>8838.9642857142862</v>
      </c>
      <c r="AL60" s="33">
        <f t="shared" ref="AL60:AL61" si="79">AK60-SUM(Y60:AC60)</f>
        <v>8697.0342857142859</v>
      </c>
      <c r="AM60" s="33">
        <f t="shared" ref="AM60:AM61" si="80">+AL60*0.12</f>
        <v>1043.6441142857143</v>
      </c>
      <c r="AN60" s="33">
        <f t="shared" si="58"/>
        <v>9740.6784000000007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.75" thickBot="1">
      <c r="A61" s="176"/>
      <c r="B61" s="16" t="s">
        <v>44</v>
      </c>
      <c r="C61" s="33">
        <v>13537.34</v>
      </c>
      <c r="D61" s="34">
        <v>12324.42</v>
      </c>
      <c r="E61" s="34">
        <v>12329</v>
      </c>
      <c r="F61" s="171">
        <v>43270</v>
      </c>
      <c r="G61" s="33"/>
      <c r="H61" s="33">
        <f>IF(E61-D61&gt;0,E61-D61,0)</f>
        <v>4.5799999999999272</v>
      </c>
      <c r="I61" s="34"/>
      <c r="J61" s="34"/>
      <c r="K61" s="34">
        <v>827.86</v>
      </c>
      <c r="L61" s="34"/>
      <c r="M61" s="36">
        <f>(+K61)*M$5</f>
        <v>17.79899</v>
      </c>
      <c r="N61" s="36">
        <f>(+K61)*N$5</f>
        <v>4.1393000000000004</v>
      </c>
      <c r="O61" s="36">
        <f>+K61-M61-N61+P61</f>
        <v>805.92170999999996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f>239+47.25</f>
        <v>286.25</v>
      </c>
      <c r="AA61" s="34"/>
      <c r="AB61" s="34"/>
      <c r="AC61" s="34">
        <v>98.81</v>
      </c>
      <c r="AD61" s="38"/>
      <c r="AE61" s="38"/>
      <c r="AF61" s="34">
        <v>1051.6300000000001</v>
      </c>
      <c r="AG61" s="33">
        <f>(AF61*0.8)*0.85</f>
        <v>715.10840000000007</v>
      </c>
      <c r="AH61" s="33">
        <f>(AF61*0.8)*0.15</f>
        <v>126.19560000000001</v>
      </c>
      <c r="AI61" s="33">
        <f>AF61*0.2</f>
        <v>210.32600000000002</v>
      </c>
      <c r="AJ61" s="34"/>
      <c r="AK61" s="33">
        <f t="shared" si="78"/>
        <v>11147.955357142855</v>
      </c>
      <c r="AL61" s="33">
        <f t="shared" si="79"/>
        <v>10762.895357142856</v>
      </c>
      <c r="AM61" s="33">
        <f t="shared" si="80"/>
        <v>1291.5474428571426</v>
      </c>
      <c r="AN61" s="33">
        <f t="shared" si="58"/>
        <v>12054.442799999999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>
      <c r="A62" s="42"/>
      <c r="B62" s="43"/>
      <c r="C62" s="44">
        <f>SUBTOTAL(9,C60:C61)</f>
        <v>24241.7</v>
      </c>
      <c r="D62" s="45">
        <f>SUBTOTAL(9,D60:D61)</f>
        <v>20526.669999999998</v>
      </c>
      <c r="E62" s="45">
        <f>SUBTOTAL(9,E60:E61)</f>
        <v>20531</v>
      </c>
      <c r="F62" s="172"/>
      <c r="G62" s="45">
        <f t="shared" ref="G62:P62" si="81">SUBTOTAL(9,G60:G61)</f>
        <v>0</v>
      </c>
      <c r="H62" s="45">
        <f t="shared" si="81"/>
        <v>4.5799999999999272</v>
      </c>
      <c r="I62" s="162">
        <f t="shared" si="81"/>
        <v>0</v>
      </c>
      <c r="J62" s="162">
        <f t="shared" si="81"/>
        <v>0</v>
      </c>
      <c r="K62" s="162">
        <f t="shared" si="81"/>
        <v>3188.04</v>
      </c>
      <c r="L62" s="162">
        <f t="shared" si="81"/>
        <v>0</v>
      </c>
      <c r="M62" s="46">
        <f t="shared" si="81"/>
        <v>68.54285999999999</v>
      </c>
      <c r="N62" s="46">
        <f t="shared" si="81"/>
        <v>15.940199999999999</v>
      </c>
      <c r="O62" s="46">
        <f t="shared" si="81"/>
        <v>3103.5569399999999</v>
      </c>
      <c r="P62" s="46">
        <f t="shared" si="81"/>
        <v>0</v>
      </c>
      <c r="Q62" s="47"/>
      <c r="R62" s="45">
        <f t="shared" ref="R62:BQ62" si="82">SUBTOTAL(9,R60:R61)</f>
        <v>0</v>
      </c>
      <c r="S62" s="45">
        <f t="shared" si="82"/>
        <v>0</v>
      </c>
      <c r="T62" s="46">
        <f t="shared" si="82"/>
        <v>0</v>
      </c>
      <c r="U62" s="46">
        <f t="shared" si="82"/>
        <v>0</v>
      </c>
      <c r="V62" s="46">
        <f t="shared" si="82"/>
        <v>0</v>
      </c>
      <c r="W62" s="46">
        <f t="shared" si="82"/>
        <v>0</v>
      </c>
      <c r="X62" s="47"/>
      <c r="Y62" s="45">
        <f>SUBTOTAL(9,Y60:Y61)</f>
        <v>0</v>
      </c>
      <c r="Z62" s="45"/>
      <c r="AA62" s="45"/>
      <c r="AB62" s="45"/>
      <c r="AC62" s="45"/>
      <c r="AD62" s="48"/>
      <c r="AE62" s="48"/>
      <c r="AF62" s="45"/>
      <c r="AG62" s="44">
        <f t="shared" si="82"/>
        <v>1262.3180000000002</v>
      </c>
      <c r="AH62" s="44">
        <f t="shared" si="82"/>
        <v>222.762</v>
      </c>
      <c r="AI62" s="44">
        <f t="shared" si="82"/>
        <v>371.27000000000004</v>
      </c>
      <c r="AJ62" s="45">
        <f t="shared" si="82"/>
        <v>0</v>
      </c>
      <c r="AK62" s="44">
        <f t="shared" si="82"/>
        <v>19986.919642857141</v>
      </c>
      <c r="AL62" s="44">
        <f t="shared" si="82"/>
        <v>19459.92964285714</v>
      </c>
      <c r="AM62" s="44">
        <f t="shared" si="82"/>
        <v>2335.1915571428572</v>
      </c>
      <c r="AN62" s="44">
        <f t="shared" si="58"/>
        <v>21795.121199999998</v>
      </c>
      <c r="AO62" s="49">
        <f t="shared" si="82"/>
        <v>0</v>
      </c>
      <c r="AP62" s="49">
        <f t="shared" si="82"/>
        <v>0</v>
      </c>
      <c r="AQ62" s="49">
        <f t="shared" si="82"/>
        <v>0</v>
      </c>
      <c r="AR62" s="49">
        <f t="shared" si="82"/>
        <v>0</v>
      </c>
      <c r="AS62" s="49">
        <f t="shared" si="82"/>
        <v>0</v>
      </c>
      <c r="AT62" s="49">
        <f t="shared" si="82"/>
        <v>0</v>
      </c>
      <c r="AU62" s="49">
        <f>SUBTOTAL(9,AU60:AU61)</f>
        <v>0</v>
      </c>
      <c r="AV62" s="49">
        <f t="shared" si="82"/>
        <v>0</v>
      </c>
      <c r="AW62" s="49">
        <f t="shared" si="82"/>
        <v>0</v>
      </c>
      <c r="AX62" s="49">
        <f t="shared" si="82"/>
        <v>0</v>
      </c>
      <c r="AY62" s="49">
        <f t="shared" si="82"/>
        <v>0</v>
      </c>
      <c r="AZ62" s="44">
        <f t="shared" si="82"/>
        <v>0</v>
      </c>
      <c r="BA62" s="48">
        <f t="shared" si="82"/>
        <v>0</v>
      </c>
      <c r="BB62" s="48">
        <f t="shared" si="82"/>
        <v>0</v>
      </c>
      <c r="BC62" s="44">
        <f t="shared" si="82"/>
        <v>0</v>
      </c>
      <c r="BD62" s="44">
        <f t="shared" si="82"/>
        <v>0</v>
      </c>
      <c r="BE62" s="49">
        <f t="shared" si="82"/>
        <v>0</v>
      </c>
      <c r="BF62" s="49">
        <f>SUBTOTAL(9,BF60:BF61)</f>
        <v>0</v>
      </c>
      <c r="BG62" s="49">
        <f t="shared" si="82"/>
        <v>0</v>
      </c>
      <c r="BH62" s="49">
        <f t="shared" si="82"/>
        <v>0</v>
      </c>
      <c r="BI62" s="49">
        <f t="shared" si="82"/>
        <v>0</v>
      </c>
      <c r="BJ62" s="49">
        <f t="shared" si="82"/>
        <v>0</v>
      </c>
      <c r="BK62" s="49">
        <f t="shared" si="82"/>
        <v>0</v>
      </c>
      <c r="BL62" s="49">
        <f t="shared" si="82"/>
        <v>0</v>
      </c>
      <c r="BM62" s="49">
        <f t="shared" si="82"/>
        <v>0</v>
      </c>
      <c r="BN62" s="49">
        <f t="shared" si="82"/>
        <v>0</v>
      </c>
      <c r="BO62" s="49">
        <f t="shared" si="82"/>
        <v>0</v>
      </c>
      <c r="BP62" s="49">
        <f t="shared" si="82"/>
        <v>0</v>
      </c>
      <c r="BQ62" s="49">
        <f t="shared" si="82"/>
        <v>0</v>
      </c>
      <c r="BR62" s="44">
        <f>SUBTOTAL(9,BR60:BR61)</f>
        <v>0</v>
      </c>
    </row>
    <row r="63" spans="1:97">
      <c r="A63" s="175">
        <f>+A60+1</f>
        <v>43270</v>
      </c>
      <c r="B63" s="16" t="s">
        <v>43</v>
      </c>
      <c r="C63" s="33">
        <v>12463.51</v>
      </c>
      <c r="D63" s="34">
        <v>6966.28</v>
      </c>
      <c r="E63" s="34">
        <v>6966</v>
      </c>
      <c r="F63" s="171">
        <v>43270</v>
      </c>
      <c r="G63" s="33">
        <f>IF(E63-D63&lt;0,E63-D63,0)*-1</f>
        <v>0.27999999999974534</v>
      </c>
      <c r="H63" s="33">
        <f>IF(E63-D63&gt;0,E63-D63,0)</f>
        <v>0</v>
      </c>
      <c r="I63" s="34"/>
      <c r="J63" s="34"/>
      <c r="K63" s="34">
        <v>5255.27</v>
      </c>
      <c r="L63" s="34"/>
      <c r="M63" s="36">
        <f>(+K63)*M$5</f>
        <v>112.988305</v>
      </c>
      <c r="N63" s="36">
        <f>(+K63)*N$5</f>
        <v>26.276350000000004</v>
      </c>
      <c r="O63" s="36">
        <f>+K63-M63-N63+P63</f>
        <v>5116.0053450000005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>
        <v>241.96</v>
      </c>
      <c r="AD63" s="38"/>
      <c r="AE63" s="38"/>
      <c r="AF63" s="34">
        <v>962.69</v>
      </c>
      <c r="AG63" s="33">
        <f>(AF63*0.8)*0.85</f>
        <v>654.62919999999997</v>
      </c>
      <c r="AH63" s="33">
        <f>(AF63*0.8)*0.15</f>
        <v>115.5228</v>
      </c>
      <c r="AI63" s="33">
        <f>AF63*0.2</f>
        <v>192.53800000000001</v>
      </c>
      <c r="AJ63" s="34"/>
      <c r="AK63" s="33">
        <f t="shared" ref="AK63:AK64" si="83">(C63-AF63-AJ63)/1.12</f>
        <v>10268.589285714284</v>
      </c>
      <c r="AL63" s="33">
        <f t="shared" ref="AL63:AL64" si="84">AK63-SUM(Y63:AC63)</f>
        <v>10026.629285714285</v>
      </c>
      <c r="AM63" s="33">
        <f t="shared" ref="AM63:AM64" si="85">+AL63*0.12</f>
        <v>1203.1955142857141</v>
      </c>
      <c r="AN63" s="33">
        <f t="shared" ref="AN63:AN64" si="86">+AM63+AL63+AJ63</f>
        <v>11229.824799999999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>
      <c r="A64" s="176"/>
      <c r="B64" s="16" t="s">
        <v>44</v>
      </c>
      <c r="C64" s="33">
        <v>13199.68</v>
      </c>
      <c r="D64" s="34">
        <v>6772.1</v>
      </c>
      <c r="E64" s="34">
        <v>6773</v>
      </c>
      <c r="F64" s="171">
        <v>43271</v>
      </c>
      <c r="G64" s="33">
        <f>IF(E64-D64&lt;0,E64-D64,0)*-1</f>
        <v>0</v>
      </c>
      <c r="H64" s="33">
        <f>IF(E64-D64&gt;0,E64-D64,0)</f>
        <v>0.8999999999996362</v>
      </c>
      <c r="I64" s="34"/>
      <c r="J64" s="34"/>
      <c r="K64" s="34">
        <v>6088.83</v>
      </c>
      <c r="L64" s="34"/>
      <c r="M64" s="36">
        <f>(+K64)*M$5</f>
        <v>130.90984499999999</v>
      </c>
      <c r="N64" s="36">
        <f>(+K64)*N$5</f>
        <v>30.44415</v>
      </c>
      <c r="O64" s="36">
        <f>+K64-M64-N64+P64</f>
        <v>5927.4760049999995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>
        <v>267.39999999999998</v>
      </c>
      <c r="AA64" s="34"/>
      <c r="AB64" s="34">
        <v>18</v>
      </c>
      <c r="AC64" s="34">
        <v>53.35</v>
      </c>
      <c r="AD64" s="38"/>
      <c r="AE64" s="38"/>
      <c r="AF64" s="34">
        <v>946.69</v>
      </c>
      <c r="AG64" s="33">
        <f>(AF64*0.8)*0.85</f>
        <v>643.74920000000009</v>
      </c>
      <c r="AH64" s="33">
        <f>(AF64*0.8)*0.15</f>
        <v>113.60280000000002</v>
      </c>
      <c r="AI64" s="33">
        <f>AF64*0.2</f>
        <v>189.33800000000002</v>
      </c>
      <c r="AJ64" s="34"/>
      <c r="AK64" s="33">
        <f t="shared" si="83"/>
        <v>10940.169642857141</v>
      </c>
      <c r="AL64" s="33">
        <f t="shared" si="84"/>
        <v>10601.419642857141</v>
      </c>
      <c r="AM64" s="33">
        <f t="shared" si="85"/>
        <v>1272.1703571428568</v>
      </c>
      <c r="AN64" s="33">
        <f t="shared" si="86"/>
        <v>11873.589999999998</v>
      </c>
      <c r="AO64" s="39"/>
      <c r="AP64" s="40">
        <v>215</v>
      </c>
      <c r="AQ64" s="40"/>
      <c r="AR64" s="40">
        <v>265</v>
      </c>
      <c r="AS64" s="40"/>
      <c r="AT64" s="40"/>
      <c r="AU64" s="40"/>
      <c r="AV64" s="40"/>
      <c r="AW64" s="40"/>
      <c r="AX64" s="40"/>
      <c r="AY64" s="40"/>
      <c r="AZ64" s="33">
        <f>SUM(AO64:AY64)</f>
        <v>480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480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.75" thickBot="1">
      <c r="A65" s="42"/>
      <c r="B65" s="43"/>
      <c r="C65" s="44">
        <f>SUBTOTAL(9,C63:C64)</f>
        <v>25663.190000000002</v>
      </c>
      <c r="D65" s="45">
        <f>SUBTOTAL(9,D63:D64)</f>
        <v>13738.380000000001</v>
      </c>
      <c r="E65" s="45">
        <f>SUBTOTAL(9,E63:E64)</f>
        <v>13739</v>
      </c>
      <c r="F65" s="172"/>
      <c r="G65" s="45">
        <f t="shared" ref="G65:P65" si="87">SUBTOTAL(9,G63:G64)</f>
        <v>0.27999999999974534</v>
      </c>
      <c r="H65" s="45">
        <f t="shared" si="87"/>
        <v>0.8999999999996362</v>
      </c>
      <c r="I65" s="162">
        <f t="shared" si="87"/>
        <v>0</v>
      </c>
      <c r="J65" s="162">
        <f t="shared" si="87"/>
        <v>0</v>
      </c>
      <c r="K65" s="162">
        <f t="shared" si="87"/>
        <v>11344.1</v>
      </c>
      <c r="L65" s="162">
        <f t="shared" si="87"/>
        <v>0</v>
      </c>
      <c r="M65" s="46">
        <f t="shared" si="87"/>
        <v>243.89814999999999</v>
      </c>
      <c r="N65" s="46">
        <f t="shared" si="87"/>
        <v>56.720500000000001</v>
      </c>
      <c r="O65" s="46">
        <f t="shared" si="87"/>
        <v>11043.48135</v>
      </c>
      <c r="P65" s="46">
        <f t="shared" si="87"/>
        <v>0</v>
      </c>
      <c r="Q65" s="47"/>
      <c r="R65" s="45">
        <f t="shared" ref="R65:BQ65" si="88">SUBTOTAL(9,R63:R64)</f>
        <v>0</v>
      </c>
      <c r="S65" s="45">
        <f t="shared" si="88"/>
        <v>0</v>
      </c>
      <c r="T65" s="46">
        <f t="shared" si="88"/>
        <v>0</v>
      </c>
      <c r="U65" s="46">
        <f t="shared" si="88"/>
        <v>0</v>
      </c>
      <c r="V65" s="46">
        <f t="shared" si="88"/>
        <v>0</v>
      </c>
      <c r="W65" s="46">
        <f t="shared" si="88"/>
        <v>0</v>
      </c>
      <c r="X65" s="47"/>
      <c r="Y65" s="45">
        <f>SUBTOTAL(9,Y63:Y64)</f>
        <v>0</v>
      </c>
      <c r="Z65" s="45"/>
      <c r="AA65" s="45"/>
      <c r="AB65" s="45"/>
      <c r="AC65" s="45"/>
      <c r="AD65" s="48"/>
      <c r="AE65" s="48"/>
      <c r="AF65" s="45"/>
      <c r="AG65" s="44">
        <f t="shared" si="88"/>
        <v>1298.3784000000001</v>
      </c>
      <c r="AH65" s="44">
        <f t="shared" si="88"/>
        <v>229.12560000000002</v>
      </c>
      <c r="AI65" s="44">
        <f t="shared" si="88"/>
        <v>381.87600000000003</v>
      </c>
      <c r="AJ65" s="45">
        <f t="shared" si="88"/>
        <v>0</v>
      </c>
      <c r="AK65" s="44">
        <f t="shared" si="88"/>
        <v>21208.758928571428</v>
      </c>
      <c r="AL65" s="44">
        <f t="shared" si="88"/>
        <v>20628.048928571428</v>
      </c>
      <c r="AM65" s="44">
        <f t="shared" si="88"/>
        <v>2475.3658714285712</v>
      </c>
      <c r="AN65" s="44">
        <f t="shared" si="58"/>
        <v>23103.414799999999</v>
      </c>
      <c r="AO65" s="49">
        <f t="shared" si="88"/>
        <v>0</v>
      </c>
      <c r="AP65" s="49">
        <f t="shared" si="88"/>
        <v>215</v>
      </c>
      <c r="AQ65" s="49">
        <f t="shared" si="88"/>
        <v>0</v>
      </c>
      <c r="AR65" s="49">
        <f t="shared" si="88"/>
        <v>265</v>
      </c>
      <c r="AS65" s="49">
        <f t="shared" si="88"/>
        <v>0</v>
      </c>
      <c r="AT65" s="49">
        <f t="shared" si="88"/>
        <v>0</v>
      </c>
      <c r="AU65" s="49">
        <f>SUBTOTAL(9,AU63:AU64)</f>
        <v>0</v>
      </c>
      <c r="AV65" s="49">
        <f t="shared" si="88"/>
        <v>0</v>
      </c>
      <c r="AW65" s="49">
        <f t="shared" si="88"/>
        <v>0</v>
      </c>
      <c r="AX65" s="49">
        <f t="shared" si="88"/>
        <v>0</v>
      </c>
      <c r="AY65" s="49">
        <f t="shared" si="88"/>
        <v>0</v>
      </c>
      <c r="AZ65" s="44">
        <f t="shared" si="88"/>
        <v>480</v>
      </c>
      <c r="BA65" s="48">
        <f t="shared" si="88"/>
        <v>0</v>
      </c>
      <c r="BB65" s="48">
        <f t="shared" si="88"/>
        <v>0</v>
      </c>
      <c r="BC65" s="44">
        <f t="shared" si="88"/>
        <v>0</v>
      </c>
      <c r="BD65" s="44">
        <f t="shared" si="88"/>
        <v>0</v>
      </c>
      <c r="BE65" s="49">
        <f t="shared" si="88"/>
        <v>0</v>
      </c>
      <c r="BF65" s="49">
        <f>SUBTOTAL(9,BF63:BF64)</f>
        <v>0</v>
      </c>
      <c r="BG65" s="49">
        <f t="shared" si="88"/>
        <v>0</v>
      </c>
      <c r="BH65" s="49" t="s">
        <v>1</v>
      </c>
      <c r="BI65" s="49">
        <f t="shared" si="88"/>
        <v>0</v>
      </c>
      <c r="BJ65" s="49">
        <f t="shared" si="88"/>
        <v>0</v>
      </c>
      <c r="BK65" s="49">
        <f t="shared" si="88"/>
        <v>0</v>
      </c>
      <c r="BL65" s="49">
        <f t="shared" si="88"/>
        <v>0</v>
      </c>
      <c r="BM65" s="49">
        <f t="shared" si="88"/>
        <v>0</v>
      </c>
      <c r="BN65" s="49">
        <f t="shared" si="88"/>
        <v>0</v>
      </c>
      <c r="BO65" s="49">
        <f t="shared" si="88"/>
        <v>0</v>
      </c>
      <c r="BP65" s="49">
        <f t="shared" si="88"/>
        <v>0</v>
      </c>
      <c r="BQ65" s="49">
        <f t="shared" si="88"/>
        <v>0</v>
      </c>
      <c r="BR65" s="44">
        <f>SUBTOTAL(9,BR63:BR64)</f>
        <v>480</v>
      </c>
    </row>
    <row r="66" spans="1:97">
      <c r="A66" s="175">
        <f>A63+1</f>
        <v>43271</v>
      </c>
      <c r="B66" s="16" t="s">
        <v>43</v>
      </c>
      <c r="C66" s="33">
        <v>24093.79</v>
      </c>
      <c r="D66" s="34">
        <v>17913</v>
      </c>
      <c r="E66" s="34">
        <v>17915</v>
      </c>
      <c r="F66" s="171">
        <v>43271</v>
      </c>
      <c r="G66" s="33">
        <f>IF(E66-D66&lt;0,E66-D66,0)*-1</f>
        <v>0</v>
      </c>
      <c r="H66" s="33">
        <f>IF(E66-D66&gt;0,E66-D66,0)</f>
        <v>2</v>
      </c>
      <c r="I66" s="34"/>
      <c r="J66" s="34"/>
      <c r="K66" s="34">
        <v>5840.72</v>
      </c>
      <c r="L66" s="34"/>
      <c r="M66" s="36">
        <f>(+K66)*M$5</f>
        <v>125.57548</v>
      </c>
      <c r="N66" s="36">
        <f>(+K66)*N$5</f>
        <v>29.203600000000002</v>
      </c>
      <c r="O66" s="36">
        <f>+K66-M66-N66+P66</f>
        <v>5685.94092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>
        <v>51.25</v>
      </c>
      <c r="AA66" s="34"/>
      <c r="AB66" s="34"/>
      <c r="AC66" s="34">
        <v>288.82</v>
      </c>
      <c r="AD66" s="38"/>
      <c r="AE66" s="38"/>
      <c r="AF66" s="34">
        <v>1912.09</v>
      </c>
      <c r="AG66" s="33">
        <f>(AF66*0.8)*0.85</f>
        <v>1300.2212</v>
      </c>
      <c r="AH66" s="33">
        <f>(AF66*0.8)*0.15</f>
        <v>229.45079999999999</v>
      </c>
      <c r="AI66" s="33">
        <f>AF66*0.2</f>
        <v>382.41800000000001</v>
      </c>
      <c r="AJ66" s="34"/>
      <c r="AK66" s="33">
        <f t="shared" ref="AK66" si="89">(C66-AF66-AJ66)/1.12</f>
        <v>19805.089285714286</v>
      </c>
      <c r="AL66" s="33">
        <f t="shared" ref="AL66" si="90">AK66-SUM(Y66:AC66)</f>
        <v>19465.019285714287</v>
      </c>
      <c r="AM66" s="33">
        <f t="shared" ref="AM66" si="91">+AL66*0.12</f>
        <v>2335.8023142857141</v>
      </c>
      <c r="AN66" s="33">
        <f t="shared" si="58"/>
        <v>21800.821599999999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.75" thickBot="1">
      <c r="A67" s="176"/>
      <c r="B67" s="16" t="s">
        <v>44</v>
      </c>
      <c r="C67" s="33">
        <v>19344.740000000002</v>
      </c>
      <c r="D67" s="34">
        <v>15154.11</v>
      </c>
      <c r="E67" s="34">
        <v>15155</v>
      </c>
      <c r="F67" s="171">
        <v>43272</v>
      </c>
      <c r="G67" s="33">
        <f>IF(E67-D67&lt;0,E67-D67,0)*-1</f>
        <v>0</v>
      </c>
      <c r="H67" s="33">
        <f>IF(E67-D67&gt;0,E67-D67,0)</f>
        <v>0.88999999999941792</v>
      </c>
      <c r="I67" s="34"/>
      <c r="J67" s="34"/>
      <c r="K67" s="34">
        <v>4030.36</v>
      </c>
      <c r="L67" s="34"/>
      <c r="M67" s="36">
        <f>(+K67)*M$5</f>
        <v>86.652739999999994</v>
      </c>
      <c r="N67" s="36">
        <f>(+K67)*N$5</f>
        <v>20.151800000000001</v>
      </c>
      <c r="O67" s="36">
        <f>+K67-M67-N67+P67</f>
        <v>3923.55546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>
        <v>160.27000000000001</v>
      </c>
      <c r="AD67" s="38"/>
      <c r="AE67" s="38"/>
      <c r="AF67" s="34">
        <v>1499.9</v>
      </c>
      <c r="AG67" s="33">
        <f>(AF67*0.8)*0.85</f>
        <v>1019.932</v>
      </c>
      <c r="AH67" s="33">
        <f>(AF67*0.8)*0.15</f>
        <v>179.988</v>
      </c>
      <c r="AI67" s="33">
        <f>AF67*0.2</f>
        <v>299.98</v>
      </c>
      <c r="AJ67" s="34"/>
      <c r="AK67" s="33">
        <f t="shared" ref="AK67" si="92">(C67-AF67-AJ67)/1.12</f>
        <v>15932.892857142855</v>
      </c>
      <c r="AL67" s="33">
        <f t="shared" ref="AL66:AL67" si="93">AK67-SUM(Y67:AC67)</f>
        <v>15772.622857142855</v>
      </c>
      <c r="AM67" s="33">
        <f t="shared" ref="AM66:AM70" si="94">+AL67*0.12</f>
        <v>1892.7147428571425</v>
      </c>
      <c r="AN67" s="33">
        <f t="shared" ref="AN66:AN67" si="95">+AM67+AL67+AJ67</f>
        <v>17665.337599999999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73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>
      <c r="A68" s="42"/>
      <c r="B68" s="43"/>
      <c r="C68" s="44">
        <f>SUBTOTAL(9,C66:C67)</f>
        <v>43438.53</v>
      </c>
      <c r="D68" s="45">
        <f>SUBTOTAL(9,D66:D67)</f>
        <v>33067.11</v>
      </c>
      <c r="E68" s="45">
        <f>SUBTOTAL(9,E66:E67)</f>
        <v>33070</v>
      </c>
      <c r="F68" s="172"/>
      <c r="G68" s="45">
        <f t="shared" ref="G68:P68" si="96">SUBTOTAL(9,G66:G67)</f>
        <v>0</v>
      </c>
      <c r="H68" s="45">
        <f t="shared" si="96"/>
        <v>2.8899999999994179</v>
      </c>
      <c r="I68" s="162">
        <f t="shared" si="96"/>
        <v>0</v>
      </c>
      <c r="J68" s="162">
        <f t="shared" si="96"/>
        <v>0</v>
      </c>
      <c r="K68" s="162">
        <f t="shared" si="96"/>
        <v>9871.08</v>
      </c>
      <c r="L68" s="162">
        <f t="shared" si="96"/>
        <v>0</v>
      </c>
      <c r="M68" s="46">
        <f t="shared" si="96"/>
        <v>212.22821999999999</v>
      </c>
      <c r="N68" s="46">
        <f t="shared" si="96"/>
        <v>49.355400000000003</v>
      </c>
      <c r="O68" s="46">
        <f t="shared" si="96"/>
        <v>9609.4963800000005</v>
      </c>
      <c r="P68" s="46">
        <f t="shared" si="96"/>
        <v>0</v>
      </c>
      <c r="Q68" s="47"/>
      <c r="R68" s="45">
        <f t="shared" ref="R68:BQ68" si="97">SUBTOTAL(9,R66:R67)</f>
        <v>0</v>
      </c>
      <c r="S68" s="45">
        <f t="shared" si="97"/>
        <v>0</v>
      </c>
      <c r="T68" s="46">
        <f t="shared" si="97"/>
        <v>0</v>
      </c>
      <c r="U68" s="46">
        <f t="shared" si="97"/>
        <v>0</v>
      </c>
      <c r="V68" s="46">
        <f t="shared" si="97"/>
        <v>0</v>
      </c>
      <c r="W68" s="46">
        <f t="shared" si="97"/>
        <v>0</v>
      </c>
      <c r="X68" s="47"/>
      <c r="Y68" s="45">
        <f>SUBTOTAL(9,Y66:Y67)</f>
        <v>0</v>
      </c>
      <c r="Z68" s="45"/>
      <c r="AA68" s="45"/>
      <c r="AB68" s="45"/>
      <c r="AC68" s="45"/>
      <c r="AD68" s="48"/>
      <c r="AE68" s="48"/>
      <c r="AF68" s="45"/>
      <c r="AG68" s="44">
        <f t="shared" si="97"/>
        <v>2320.1531999999997</v>
      </c>
      <c r="AH68" s="44">
        <f t="shared" si="97"/>
        <v>409.43880000000001</v>
      </c>
      <c r="AI68" s="44">
        <f t="shared" si="97"/>
        <v>682.39800000000002</v>
      </c>
      <c r="AJ68" s="45">
        <f t="shared" si="97"/>
        <v>0</v>
      </c>
      <c r="AK68" s="44">
        <f t="shared" si="97"/>
        <v>35737.982142857145</v>
      </c>
      <c r="AL68" s="44">
        <f t="shared" si="97"/>
        <v>35237.642142857141</v>
      </c>
      <c r="AM68" s="44">
        <f t="shared" si="97"/>
        <v>4228.5170571428571</v>
      </c>
      <c r="AN68" s="44">
        <f t="shared" si="58"/>
        <v>39466.159199999995</v>
      </c>
      <c r="AO68" s="49">
        <f t="shared" si="97"/>
        <v>0</v>
      </c>
      <c r="AP68" s="49">
        <f t="shared" si="97"/>
        <v>0</v>
      </c>
      <c r="AQ68" s="49">
        <f t="shared" si="97"/>
        <v>0</v>
      </c>
      <c r="AR68" s="49">
        <f t="shared" si="97"/>
        <v>0</v>
      </c>
      <c r="AS68" s="49">
        <f t="shared" si="97"/>
        <v>0</v>
      </c>
      <c r="AT68" s="49">
        <f t="shared" si="97"/>
        <v>0</v>
      </c>
      <c r="AU68" s="49">
        <f>SUBTOTAL(9,AU66:AU67)</f>
        <v>0</v>
      </c>
      <c r="AV68" s="49">
        <f t="shared" si="97"/>
        <v>0</v>
      </c>
      <c r="AW68" s="49">
        <f t="shared" si="97"/>
        <v>0</v>
      </c>
      <c r="AX68" s="49">
        <f t="shared" si="97"/>
        <v>0</v>
      </c>
      <c r="AY68" s="49">
        <f t="shared" si="97"/>
        <v>0</v>
      </c>
      <c r="AZ68" s="44">
        <f t="shared" si="97"/>
        <v>0</v>
      </c>
      <c r="BA68" s="48">
        <f t="shared" si="97"/>
        <v>0</v>
      </c>
      <c r="BB68" s="48">
        <f t="shared" si="97"/>
        <v>0</v>
      </c>
      <c r="BC68" s="44">
        <f t="shared" si="97"/>
        <v>0</v>
      </c>
      <c r="BD68" s="44">
        <f t="shared" si="97"/>
        <v>0</v>
      </c>
      <c r="BE68" s="49">
        <f t="shared" si="97"/>
        <v>0</v>
      </c>
      <c r="BF68" s="49">
        <f>SUBTOTAL(9,BF66:BF67)</f>
        <v>0</v>
      </c>
      <c r="BG68" s="49">
        <f t="shared" si="97"/>
        <v>0</v>
      </c>
      <c r="BH68" s="49">
        <f t="shared" si="97"/>
        <v>0</v>
      </c>
      <c r="BI68" s="49">
        <f t="shared" si="97"/>
        <v>0</v>
      </c>
      <c r="BJ68" s="49">
        <f t="shared" si="97"/>
        <v>0</v>
      </c>
      <c r="BK68" s="49">
        <f t="shared" si="97"/>
        <v>0</v>
      </c>
      <c r="BL68" s="49">
        <f t="shared" si="97"/>
        <v>0</v>
      </c>
      <c r="BM68" s="49">
        <f t="shared" si="97"/>
        <v>0</v>
      </c>
      <c r="BN68" s="49">
        <f t="shared" si="97"/>
        <v>0</v>
      </c>
      <c r="BO68" s="49">
        <f t="shared" si="97"/>
        <v>0</v>
      </c>
      <c r="BP68" s="49">
        <f t="shared" si="97"/>
        <v>0</v>
      </c>
      <c r="BQ68" s="49">
        <f t="shared" si="97"/>
        <v>0</v>
      </c>
      <c r="BR68" s="44">
        <f>SUBTOTAL(9,BR66:BR67)</f>
        <v>0</v>
      </c>
    </row>
    <row r="69" spans="1:97">
      <c r="A69" s="175">
        <f>+A66+1</f>
        <v>43272</v>
      </c>
      <c r="B69" s="16" t="s">
        <v>43</v>
      </c>
      <c r="C69" s="33">
        <v>23409.11</v>
      </c>
      <c r="D69" s="34">
        <v>14918.94</v>
      </c>
      <c r="E69" s="34">
        <v>14920</v>
      </c>
      <c r="F69" s="171">
        <v>43272</v>
      </c>
      <c r="G69" s="33">
        <f>IF(E69-D69&lt;0,E69-D69,0)*-1</f>
        <v>0</v>
      </c>
      <c r="H69" s="33">
        <f>IF(E69-D69&gt;0,E69-D69,0)</f>
        <v>1.0599999999994907</v>
      </c>
      <c r="I69" s="34"/>
      <c r="J69" s="34"/>
      <c r="K69" s="34">
        <v>8333.0300000000007</v>
      </c>
      <c r="L69" s="34"/>
      <c r="M69" s="36">
        <f>(+K69)*M$5</f>
        <v>179.160145</v>
      </c>
      <c r="N69" s="36">
        <f>(+K69)*N$5</f>
        <v>41.665150000000004</v>
      </c>
      <c r="O69" s="36">
        <f>+K69-M69-N69+P69</f>
        <v>8112.204705000001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100</v>
      </c>
      <c r="AA69" s="34"/>
      <c r="AB69" s="34"/>
      <c r="AC69" s="34">
        <v>57.14</v>
      </c>
      <c r="AD69" s="38"/>
      <c r="AE69" s="38"/>
      <c r="AF69" s="34">
        <v>1859.4</v>
      </c>
      <c r="AG69" s="33">
        <f>(AF69*0.8)*0.85</f>
        <v>1264.3920000000001</v>
      </c>
      <c r="AH69" s="33">
        <f>(AF69*0.8)*0.15</f>
        <v>223.12800000000001</v>
      </c>
      <c r="AI69" s="33">
        <f>AF69*0.2</f>
        <v>371.88000000000005</v>
      </c>
      <c r="AJ69" s="34"/>
      <c r="AK69" s="33">
        <f>(C69-AF69-AJ69)/1.12</f>
        <v>19240.812499999996</v>
      </c>
      <c r="AL69" s="33">
        <f>AK69-SUM(Y69:AC69)</f>
        <v>19083.672499999997</v>
      </c>
      <c r="AM69" s="33">
        <f>+AL69*0.12</f>
        <v>2290.0406999999996</v>
      </c>
      <c r="AN69" s="33">
        <f t="shared" ref="AN69" si="98">+AM69+AL69+AJ69</f>
        <v>21373.713199999998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>
      <c r="A70" s="176"/>
      <c r="B70" s="16" t="s">
        <v>44</v>
      </c>
      <c r="C70" s="33">
        <v>17818.16</v>
      </c>
      <c r="D70" s="34">
        <v>7210.4</v>
      </c>
      <c r="E70" s="34">
        <v>7212</v>
      </c>
      <c r="F70" s="171">
        <v>43273</v>
      </c>
      <c r="G70" s="33">
        <f>IF(E70-D70&lt;0,E70-D70,0)*-1</f>
        <v>0</v>
      </c>
      <c r="H70" s="33">
        <f>IF(E70-D70&gt;0,E70-D70,0)</f>
        <v>1.6000000000003638</v>
      </c>
      <c r="I70" s="34"/>
      <c r="J70" s="34"/>
      <c r="K70" s="34">
        <v>10337.83</v>
      </c>
      <c r="L70" s="34"/>
      <c r="M70" s="36">
        <f>(+K70)*M$5</f>
        <v>222.26334499999999</v>
      </c>
      <c r="N70" s="36">
        <f>(+K70)*N$5</f>
        <v>51.689149999999998</v>
      </c>
      <c r="O70" s="36">
        <f>+K70-M70-N70+P70</f>
        <v>10063.877505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97.75</v>
      </c>
      <c r="AA70" s="34"/>
      <c r="AB70" s="34"/>
      <c r="AC70" s="34">
        <v>172.18</v>
      </c>
      <c r="AD70" s="38"/>
      <c r="AE70" s="38"/>
      <c r="AF70" s="34">
        <v>1331.47</v>
      </c>
      <c r="AG70" s="33">
        <f>(AF70*0.8)*0.85</f>
        <v>905.39960000000008</v>
      </c>
      <c r="AH70" s="33">
        <f>(AF70*0.8)*0.15</f>
        <v>159.77640000000002</v>
      </c>
      <c r="AI70" s="33">
        <f>AF70*0.2</f>
        <v>266.29400000000004</v>
      </c>
      <c r="AJ70" s="34"/>
      <c r="AK70" s="33">
        <f t="shared" ref="AK70" si="99">(C70-AF70-AJ70)/1.12</f>
        <v>14720.258928571426</v>
      </c>
      <c r="AL70" s="33">
        <f t="shared" ref="AL70" si="100">AK70-SUM(Y70:AC70)</f>
        <v>14450.328928571425</v>
      </c>
      <c r="AM70" s="33">
        <f t="shared" si="94"/>
        <v>1734.039471428571</v>
      </c>
      <c r="AN70" s="33">
        <f t="shared" si="58"/>
        <v>16184.368399999996</v>
      </c>
      <c r="AO70" s="39">
        <v>1155</v>
      </c>
      <c r="AP70" s="40">
        <v>200</v>
      </c>
      <c r="AQ70" s="40"/>
      <c r="AR70" s="40">
        <v>230</v>
      </c>
      <c r="AS70" s="40"/>
      <c r="AT70" s="40"/>
      <c r="AU70" s="40"/>
      <c r="AV70" s="40"/>
      <c r="AW70" s="40"/>
      <c r="AX70" s="40"/>
      <c r="AY70" s="40"/>
      <c r="AZ70" s="33">
        <f>SUM(AO70:AY70)</f>
        <v>1585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1585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.75" thickBot="1">
      <c r="A71" s="42"/>
      <c r="B71" s="43"/>
      <c r="C71" s="44">
        <f>SUBTOTAL(9,C69:C70)</f>
        <v>41227.270000000004</v>
      </c>
      <c r="D71" s="45">
        <f>SUBTOTAL(9,D69:D70)</f>
        <v>22129.34</v>
      </c>
      <c r="E71" s="45">
        <f>SUBTOTAL(9,E69:E70)</f>
        <v>22132</v>
      </c>
      <c r="F71" s="172"/>
      <c r="G71" s="45">
        <f t="shared" ref="G71:P71" si="101">SUBTOTAL(9,G69:G70)</f>
        <v>0</v>
      </c>
      <c r="H71" s="45">
        <f t="shared" si="101"/>
        <v>2.6599999999998545</v>
      </c>
      <c r="I71" s="162">
        <f t="shared" si="101"/>
        <v>0</v>
      </c>
      <c r="J71" s="162">
        <f t="shared" si="101"/>
        <v>0</v>
      </c>
      <c r="K71" s="162">
        <f t="shared" si="101"/>
        <v>18670.86</v>
      </c>
      <c r="L71" s="162">
        <f t="shared" si="101"/>
        <v>0</v>
      </c>
      <c r="M71" s="46">
        <f t="shared" si="101"/>
        <v>401.42349000000002</v>
      </c>
      <c r="N71" s="46">
        <f t="shared" si="101"/>
        <v>93.354299999999995</v>
      </c>
      <c r="O71" s="46">
        <f t="shared" si="101"/>
        <v>18176.08221</v>
      </c>
      <c r="P71" s="46">
        <f t="shared" si="101"/>
        <v>0</v>
      </c>
      <c r="Q71" s="47"/>
      <c r="R71" s="45">
        <f t="shared" ref="R71:BQ71" si="102">SUBTOTAL(9,R69:R70)</f>
        <v>0</v>
      </c>
      <c r="S71" s="45">
        <f t="shared" si="102"/>
        <v>0</v>
      </c>
      <c r="T71" s="46">
        <f t="shared" si="102"/>
        <v>0</v>
      </c>
      <c r="U71" s="46">
        <f t="shared" si="102"/>
        <v>0</v>
      </c>
      <c r="V71" s="46">
        <f t="shared" si="102"/>
        <v>0</v>
      </c>
      <c r="W71" s="46">
        <f t="shared" si="102"/>
        <v>0</v>
      </c>
      <c r="X71" s="47"/>
      <c r="Y71" s="45">
        <f>SUBTOTAL(9,Y69:Y70)</f>
        <v>0</v>
      </c>
      <c r="Z71" s="45"/>
      <c r="AA71" s="45"/>
      <c r="AB71" s="45"/>
      <c r="AC71" s="45"/>
      <c r="AD71" s="48"/>
      <c r="AE71" s="48"/>
      <c r="AF71" s="45"/>
      <c r="AG71" s="44">
        <f t="shared" si="102"/>
        <v>2169.7916</v>
      </c>
      <c r="AH71" s="44">
        <f t="shared" si="102"/>
        <v>382.90440000000001</v>
      </c>
      <c r="AI71" s="44">
        <f t="shared" si="102"/>
        <v>638.17400000000009</v>
      </c>
      <c r="AJ71" s="45">
        <f t="shared" si="102"/>
        <v>0</v>
      </c>
      <c r="AK71" s="44">
        <f t="shared" si="102"/>
        <v>33961.07142857142</v>
      </c>
      <c r="AL71" s="44">
        <f t="shared" si="102"/>
        <v>33534.001428571421</v>
      </c>
      <c r="AM71" s="44">
        <f t="shared" si="102"/>
        <v>4024.0801714285708</v>
      </c>
      <c r="AN71" s="44">
        <f t="shared" si="58"/>
        <v>37558.08159999999</v>
      </c>
      <c r="AO71" s="49">
        <f t="shared" si="102"/>
        <v>1155</v>
      </c>
      <c r="AP71" s="49">
        <f t="shared" si="102"/>
        <v>200</v>
      </c>
      <c r="AQ71" s="49">
        <f t="shared" si="102"/>
        <v>0</v>
      </c>
      <c r="AR71" s="49">
        <f t="shared" si="102"/>
        <v>230</v>
      </c>
      <c r="AS71" s="49">
        <f t="shared" si="102"/>
        <v>0</v>
      </c>
      <c r="AT71" s="49">
        <f t="shared" si="102"/>
        <v>0</v>
      </c>
      <c r="AU71" s="49">
        <f>SUBTOTAL(9,AU69:AU70)</f>
        <v>0</v>
      </c>
      <c r="AV71" s="49">
        <f t="shared" si="102"/>
        <v>0</v>
      </c>
      <c r="AW71" s="49">
        <f t="shared" si="102"/>
        <v>0</v>
      </c>
      <c r="AX71" s="49">
        <f t="shared" si="102"/>
        <v>0</v>
      </c>
      <c r="AY71" s="49">
        <f t="shared" si="102"/>
        <v>0</v>
      </c>
      <c r="AZ71" s="44">
        <f t="shared" si="102"/>
        <v>1585</v>
      </c>
      <c r="BA71" s="48">
        <f t="shared" si="102"/>
        <v>0</v>
      </c>
      <c r="BB71" s="48">
        <f t="shared" si="102"/>
        <v>0</v>
      </c>
      <c r="BC71" s="44">
        <f t="shared" si="102"/>
        <v>0</v>
      </c>
      <c r="BD71" s="44">
        <f t="shared" si="102"/>
        <v>0</v>
      </c>
      <c r="BE71" s="49">
        <f t="shared" si="102"/>
        <v>0</v>
      </c>
      <c r="BF71" s="49">
        <f>SUBTOTAL(9,BF69:BF70)</f>
        <v>0</v>
      </c>
      <c r="BG71" s="49">
        <f t="shared" si="102"/>
        <v>0</v>
      </c>
      <c r="BH71" s="49">
        <f t="shared" si="102"/>
        <v>0</v>
      </c>
      <c r="BI71" s="49">
        <f t="shared" si="102"/>
        <v>0</v>
      </c>
      <c r="BJ71" s="49">
        <f t="shared" si="102"/>
        <v>0</v>
      </c>
      <c r="BK71" s="49">
        <f t="shared" si="102"/>
        <v>0</v>
      </c>
      <c r="BL71" s="49">
        <f t="shared" si="102"/>
        <v>0</v>
      </c>
      <c r="BM71" s="49">
        <f t="shared" si="102"/>
        <v>0</v>
      </c>
      <c r="BN71" s="49">
        <f t="shared" si="102"/>
        <v>0</v>
      </c>
      <c r="BO71" s="49">
        <f t="shared" si="102"/>
        <v>0</v>
      </c>
      <c r="BP71" s="49">
        <f t="shared" si="102"/>
        <v>0</v>
      </c>
      <c r="BQ71" s="49">
        <f t="shared" si="102"/>
        <v>0</v>
      </c>
      <c r="BR71" s="44">
        <f>SUBTOTAL(9,BR69:BR70)</f>
        <v>1585</v>
      </c>
    </row>
    <row r="72" spans="1:97">
      <c r="A72" s="175">
        <f>+A69+1</f>
        <v>43273</v>
      </c>
      <c r="B72" s="16" t="s">
        <v>43</v>
      </c>
      <c r="C72" s="33">
        <v>25130.37</v>
      </c>
      <c r="D72" s="34">
        <v>18183.650000000001</v>
      </c>
      <c r="E72" s="34">
        <v>18185</v>
      </c>
      <c r="F72" s="171">
        <v>43273</v>
      </c>
      <c r="G72" s="33">
        <f>IF(E72-D72&lt;0,E72-D72,0)*-1</f>
        <v>0</v>
      </c>
      <c r="H72" s="33">
        <f>IF(E72-D72&gt;0,E72-D72,0)</f>
        <v>1.3499999999985448</v>
      </c>
      <c r="I72" s="34"/>
      <c r="J72" s="34"/>
      <c r="K72" s="34">
        <v>6796.54</v>
      </c>
      <c r="L72" s="34"/>
      <c r="M72" s="36">
        <f>(+K72)*M$5</f>
        <v>146.12560999999999</v>
      </c>
      <c r="N72" s="36">
        <f>(+K72)*N$5</f>
        <v>33.982700000000001</v>
      </c>
      <c r="O72" s="36">
        <f>+K72-M72-N72+P72</f>
        <v>6616.4316900000003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v>23.25</v>
      </c>
      <c r="AA72" s="34">
        <v>30.5</v>
      </c>
      <c r="AB72" s="34"/>
      <c r="AC72" s="34">
        <v>96.43</v>
      </c>
      <c r="AD72" s="38"/>
      <c r="AE72" s="38"/>
      <c r="AF72" s="34">
        <v>1866.23</v>
      </c>
      <c r="AG72" s="33">
        <f>(AF72*0.8)*0.85</f>
        <v>1269.0364000000002</v>
      </c>
      <c r="AH72" s="33">
        <f>(AF72*0.8)*0.15</f>
        <v>223.94760000000002</v>
      </c>
      <c r="AI72" s="33">
        <f>AF72*0.2</f>
        <v>373.24600000000004</v>
      </c>
      <c r="AJ72" s="34"/>
      <c r="AK72" s="33">
        <f t="shared" ref="AK72" si="103">(C72-AF72-AJ72)/1.12</f>
        <v>20771.553571428569</v>
      </c>
      <c r="AL72" s="33">
        <f t="shared" ref="AL72" si="104">AK72-SUM(Y72:AC72)</f>
        <v>20621.373571428569</v>
      </c>
      <c r="AM72" s="33">
        <f t="shared" ref="AM72" si="105">+AL72*0.12</f>
        <v>2474.5648285714283</v>
      </c>
      <c r="AN72" s="33">
        <f t="shared" ref="AN72" si="106">+AM72+AL72+AJ72</f>
        <v>23095.938399999995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.75" thickBot="1">
      <c r="A73" s="176"/>
      <c r="B73" s="16" t="s">
        <v>44</v>
      </c>
      <c r="C73" s="33">
        <v>22373.38</v>
      </c>
      <c r="D73" s="34">
        <v>19177.41</v>
      </c>
      <c r="E73" s="34">
        <v>19177</v>
      </c>
      <c r="F73" s="171">
        <v>43276</v>
      </c>
      <c r="G73" s="33">
        <f>IF(E73-D73&lt;0,E73-D73,0)*-1</f>
        <v>0.40999999999985448</v>
      </c>
      <c r="H73" s="33">
        <f>IF(E73-D73&gt;0,E73-D73,0)</f>
        <v>0</v>
      </c>
      <c r="I73" s="34">
        <v>500</v>
      </c>
      <c r="J73" s="34"/>
      <c r="K73" s="34">
        <v>2512.6799999999998</v>
      </c>
      <c r="L73" s="34"/>
      <c r="M73" s="36">
        <f>(+K73)*M$5</f>
        <v>54.022619999999989</v>
      </c>
      <c r="N73" s="36">
        <f>(+K73)*N$5</f>
        <v>12.5634</v>
      </c>
      <c r="O73" s="36">
        <f>+K73-M73-N73+P73</f>
        <v>2446.0939799999996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v>75.25</v>
      </c>
      <c r="AA73" s="34"/>
      <c r="AB73" s="34"/>
      <c r="AC73" s="34">
        <v>108.04</v>
      </c>
      <c r="AD73" s="38"/>
      <c r="AE73" s="38"/>
      <c r="AF73" s="34">
        <v>1423.2</v>
      </c>
      <c r="AG73" s="33">
        <f>(AF73*0.8)*0.85</f>
        <v>967.77600000000007</v>
      </c>
      <c r="AH73" s="33">
        <f>(AF73*0.8)*0.15</f>
        <v>170.78400000000002</v>
      </c>
      <c r="AI73" s="33">
        <f>AF73*0.2</f>
        <v>284.64000000000004</v>
      </c>
      <c r="AJ73" s="34"/>
      <c r="AK73" s="33">
        <f>(C73-AF73-AJ73)/1.12</f>
        <v>18705.517857142855</v>
      </c>
      <c r="AL73" s="33">
        <f>AK73-SUM(Y73:AC73)</f>
        <v>18522.227857142854</v>
      </c>
      <c r="AM73" s="33">
        <f>+AL73*0.12</f>
        <v>2222.6673428571426</v>
      </c>
      <c r="AN73" s="33">
        <f>+AM73+AL73+AJ73</f>
        <v>20744.895199999995</v>
      </c>
      <c r="AO73" s="39">
        <v>255</v>
      </c>
      <c r="AP73" s="40">
        <v>180</v>
      </c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435</v>
      </c>
      <c r="BA73" s="38"/>
      <c r="BB73" s="38"/>
      <c r="BC73" s="33">
        <f>SUM(BE73:BM73)*0.1+(BN73*0.5)</f>
        <v>0</v>
      </c>
      <c r="BD73" s="33">
        <f>SUM(BE73:BM73)+(BN73*0.5)</f>
        <v>0</v>
      </c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41">
        <f>AZ73+BA73+BB73+BD73-BC73</f>
        <v>435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>
      <c r="A74" s="42"/>
      <c r="B74" s="43"/>
      <c r="C74" s="44">
        <f>SUBTOTAL(9,C72:C73)</f>
        <v>47503.75</v>
      </c>
      <c r="D74" s="45">
        <f>SUBTOTAL(9,D72:D73)</f>
        <v>37361.06</v>
      </c>
      <c r="E74" s="45">
        <f>SUBTOTAL(9,E72:E73)</f>
        <v>37362</v>
      </c>
      <c r="F74" s="172"/>
      <c r="G74" s="45">
        <f t="shared" ref="G74:P74" si="107">SUBTOTAL(9,G72:G73)</f>
        <v>0.40999999999985448</v>
      </c>
      <c r="H74" s="45">
        <f t="shared" si="107"/>
        <v>1.3499999999985448</v>
      </c>
      <c r="I74" s="162">
        <f t="shared" si="107"/>
        <v>500</v>
      </c>
      <c r="J74" s="162">
        <f t="shared" si="107"/>
        <v>0</v>
      </c>
      <c r="K74" s="162">
        <f t="shared" si="107"/>
        <v>9309.2199999999993</v>
      </c>
      <c r="L74" s="162">
        <f t="shared" si="107"/>
        <v>0</v>
      </c>
      <c r="M74" s="46">
        <f t="shared" si="107"/>
        <v>200.14822999999998</v>
      </c>
      <c r="N74" s="46">
        <f t="shared" si="107"/>
        <v>46.546100000000003</v>
      </c>
      <c r="O74" s="46">
        <f t="shared" si="107"/>
        <v>9062.5256699999991</v>
      </c>
      <c r="P74" s="46">
        <f t="shared" si="107"/>
        <v>0</v>
      </c>
      <c r="Q74" s="47"/>
      <c r="R74" s="45">
        <f t="shared" ref="R74:BQ74" si="108">SUBTOTAL(9,R72:R73)</f>
        <v>0</v>
      </c>
      <c r="S74" s="45">
        <f t="shared" si="108"/>
        <v>0</v>
      </c>
      <c r="T74" s="46">
        <f t="shared" si="108"/>
        <v>0</v>
      </c>
      <c r="U74" s="46">
        <f t="shared" si="108"/>
        <v>0</v>
      </c>
      <c r="V74" s="46">
        <f t="shared" si="108"/>
        <v>0</v>
      </c>
      <c r="W74" s="46">
        <f t="shared" si="108"/>
        <v>0</v>
      </c>
      <c r="X74" s="47"/>
      <c r="Y74" s="45">
        <f>SUBTOTAL(9,Y72:Y73)</f>
        <v>0</v>
      </c>
      <c r="Z74" s="45"/>
      <c r="AA74" s="45"/>
      <c r="AB74" s="45"/>
      <c r="AC74" s="45"/>
      <c r="AD74" s="48"/>
      <c r="AE74" s="48"/>
      <c r="AF74" s="45"/>
      <c r="AG74" s="44">
        <f t="shared" si="108"/>
        <v>2236.8124000000003</v>
      </c>
      <c r="AH74" s="44">
        <f t="shared" si="108"/>
        <v>394.73160000000007</v>
      </c>
      <c r="AI74" s="44">
        <f t="shared" si="108"/>
        <v>657.88600000000008</v>
      </c>
      <c r="AJ74" s="45">
        <f t="shared" si="108"/>
        <v>0</v>
      </c>
      <c r="AK74" s="44">
        <f t="shared" si="108"/>
        <v>39477.07142857142</v>
      </c>
      <c r="AL74" s="44">
        <f t="shared" si="108"/>
        <v>39143.601428571419</v>
      </c>
      <c r="AM74" s="44">
        <f t="shared" si="108"/>
        <v>4697.2321714285708</v>
      </c>
      <c r="AN74" s="44">
        <f t="shared" si="58"/>
        <v>43840.833599999991</v>
      </c>
      <c r="AO74" s="49">
        <f t="shared" si="108"/>
        <v>255</v>
      </c>
      <c r="AP74" s="49">
        <f t="shared" si="108"/>
        <v>180</v>
      </c>
      <c r="AQ74" s="49">
        <f t="shared" si="108"/>
        <v>0</v>
      </c>
      <c r="AR74" s="49">
        <f t="shared" si="108"/>
        <v>0</v>
      </c>
      <c r="AS74" s="49">
        <f t="shared" si="108"/>
        <v>0</v>
      </c>
      <c r="AT74" s="49">
        <f t="shared" si="108"/>
        <v>0</v>
      </c>
      <c r="AU74" s="49">
        <f>SUBTOTAL(9,AU72:AU73)</f>
        <v>0</v>
      </c>
      <c r="AV74" s="49">
        <f t="shared" si="108"/>
        <v>0</v>
      </c>
      <c r="AW74" s="49">
        <f t="shared" si="108"/>
        <v>0</v>
      </c>
      <c r="AX74" s="49">
        <f t="shared" si="108"/>
        <v>0</v>
      </c>
      <c r="AY74" s="49">
        <f t="shared" si="108"/>
        <v>0</v>
      </c>
      <c r="AZ74" s="44">
        <f t="shared" si="108"/>
        <v>435</v>
      </c>
      <c r="BA74" s="48">
        <f t="shared" si="108"/>
        <v>0</v>
      </c>
      <c r="BB74" s="48">
        <f t="shared" si="108"/>
        <v>0</v>
      </c>
      <c r="BC74" s="44">
        <f t="shared" si="108"/>
        <v>0</v>
      </c>
      <c r="BD74" s="44">
        <f t="shared" si="108"/>
        <v>0</v>
      </c>
      <c r="BE74" s="49">
        <f t="shared" si="108"/>
        <v>0</v>
      </c>
      <c r="BF74" s="49">
        <f>SUBTOTAL(9,BF72:BF73)</f>
        <v>0</v>
      </c>
      <c r="BG74" s="49">
        <f t="shared" si="108"/>
        <v>0</v>
      </c>
      <c r="BH74" s="49">
        <f t="shared" si="108"/>
        <v>0</v>
      </c>
      <c r="BI74" s="49">
        <f t="shared" si="108"/>
        <v>0</v>
      </c>
      <c r="BJ74" s="49">
        <f t="shared" si="108"/>
        <v>0</v>
      </c>
      <c r="BK74" s="49">
        <f t="shared" si="108"/>
        <v>0</v>
      </c>
      <c r="BL74" s="49">
        <f t="shared" si="108"/>
        <v>0</v>
      </c>
      <c r="BM74" s="49">
        <f t="shared" si="108"/>
        <v>0</v>
      </c>
      <c r="BN74" s="49">
        <f t="shared" si="108"/>
        <v>0</v>
      </c>
      <c r="BO74" s="49">
        <f t="shared" si="108"/>
        <v>0</v>
      </c>
      <c r="BP74" s="49">
        <f t="shared" si="108"/>
        <v>0</v>
      </c>
      <c r="BQ74" s="49">
        <f t="shared" si="108"/>
        <v>0</v>
      </c>
      <c r="BR74" s="44">
        <f>SUBTOTAL(9,BR72:BR73)</f>
        <v>435</v>
      </c>
    </row>
    <row r="75" spans="1:97">
      <c r="A75" s="175">
        <f>+A72+1</f>
        <v>43274</v>
      </c>
      <c r="B75" s="16" t="s">
        <v>43</v>
      </c>
      <c r="C75" s="33" t="s">
        <v>155</v>
      </c>
      <c r="D75" s="34"/>
      <c r="E75" s="34"/>
      <c r="F75" s="171"/>
      <c r="G75" s="33">
        <f>IF(E75-D75&lt;0,E75-D75,0)*-1</f>
        <v>0</v>
      </c>
      <c r="H75" s="33">
        <f>IF(E75-D75&gt;0,E75-D75,0)</f>
        <v>0</v>
      </c>
      <c r="I75" s="34"/>
      <c r="J75" s="34"/>
      <c r="K75" s="34"/>
      <c r="L75" s="34"/>
      <c r="M75" s="36">
        <f>(+K75)*M$5</f>
        <v>0</v>
      </c>
      <c r="N75" s="36">
        <f>(+K75)*N$5</f>
        <v>0</v>
      </c>
      <c r="O75" s="36">
        <f>+K75-M75-N75+P75</f>
        <v>0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/>
      <c r="AD75" s="38"/>
      <c r="AE75" s="38"/>
      <c r="AF75" s="34"/>
      <c r="AG75" s="33">
        <f>(AF75*0.8)*0.85</f>
        <v>0</v>
      </c>
      <c r="AH75" s="33">
        <f>(AF75*0.8)*0.15</f>
        <v>0</v>
      </c>
      <c r="AI75" s="33">
        <f>AF75*0.2</f>
        <v>0</v>
      </c>
      <c r="AJ75" s="34"/>
      <c r="AK75" s="33">
        <v>0</v>
      </c>
      <c r="AL75" s="33">
        <f>AK75-SUM(Y75:AC75)</f>
        <v>0</v>
      </c>
      <c r="AM75" s="33">
        <f>+AL75*0.12</f>
        <v>0</v>
      </c>
      <c r="AN75" s="33">
        <f t="shared" si="58"/>
        <v>0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>
      <c r="A76" s="176"/>
      <c r="B76" s="16" t="s">
        <v>44</v>
      </c>
      <c r="C76" s="33">
        <v>8787.44</v>
      </c>
      <c r="D76" s="34">
        <v>8600.69</v>
      </c>
      <c r="E76" s="34">
        <v>8602</v>
      </c>
      <c r="F76" s="171">
        <v>43276</v>
      </c>
      <c r="G76" s="33">
        <f>IF(E76-D76&lt;0,E76-D76,0)*-1</f>
        <v>0</v>
      </c>
      <c r="H76" s="33">
        <f>IF(E76-D76&gt;0,E76-D76,0)</f>
        <v>1.3099999999994907</v>
      </c>
      <c r="I76" s="34"/>
      <c r="J76" s="34"/>
      <c r="K76" s="34">
        <v>0</v>
      </c>
      <c r="L76" s="34"/>
      <c r="M76" s="36">
        <f>(+K76)*M$5</f>
        <v>0</v>
      </c>
      <c r="N76" s="36">
        <f>(+K76)*N$5</f>
        <v>0</v>
      </c>
      <c r="O76" s="36">
        <f>+K76-M76-N76+P76</f>
        <v>0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f>147+39.75</f>
        <v>186.75</v>
      </c>
      <c r="AA76" s="34"/>
      <c r="AB76" s="34"/>
      <c r="AC76" s="34"/>
      <c r="AD76" s="38"/>
      <c r="AE76" s="38"/>
      <c r="AF76" s="34">
        <v>657.44</v>
      </c>
      <c r="AG76" s="33">
        <f>(AF76*0.8)*0.85</f>
        <v>447.05920000000009</v>
      </c>
      <c r="AH76" s="33">
        <f>(AF76*0.8)*0.15</f>
        <v>78.892800000000008</v>
      </c>
      <c r="AI76" s="33">
        <f>AF76*0.2</f>
        <v>131.48800000000003</v>
      </c>
      <c r="AJ76" s="34"/>
      <c r="AK76" s="33">
        <f>(C76-AF76-AJ76)/1.12</f>
        <v>7258.9285714285706</v>
      </c>
      <c r="AL76" s="33">
        <f>AK76-SUM(Y76:AC76)</f>
        <v>7072.1785714285706</v>
      </c>
      <c r="AM76" s="33">
        <f>+AL76*0.12</f>
        <v>848.66142857142847</v>
      </c>
      <c r="AN76" s="33">
        <f t="shared" si="58"/>
        <v>7920.8399999999992</v>
      </c>
      <c r="AO76" s="39">
        <v>195</v>
      </c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195</v>
      </c>
      <c r="BA76" s="38">
        <v>333</v>
      </c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528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.75" thickBot="1">
      <c r="A77" s="42"/>
      <c r="B77" s="43"/>
      <c r="C77" s="44">
        <f>SUBTOTAL(9,C75:C76)</f>
        <v>8787.44</v>
      </c>
      <c r="D77" s="45">
        <f>SUBTOTAL(9,D75:D76)</f>
        <v>8600.69</v>
      </c>
      <c r="E77" s="45">
        <f>SUBTOTAL(9,E75:E76)</f>
        <v>8602</v>
      </c>
      <c r="F77" s="172"/>
      <c r="G77" s="45">
        <f t="shared" ref="G77:P77" si="109">SUBTOTAL(9,G75:G76)</f>
        <v>0</v>
      </c>
      <c r="H77" s="45">
        <f t="shared" si="109"/>
        <v>1.3099999999994907</v>
      </c>
      <c r="I77" s="45">
        <f t="shared" si="109"/>
        <v>0</v>
      </c>
      <c r="J77" s="45">
        <f t="shared" si="109"/>
        <v>0</v>
      </c>
      <c r="K77" s="45"/>
      <c r="L77" s="45">
        <f t="shared" si="109"/>
        <v>0</v>
      </c>
      <c r="M77" s="46">
        <f t="shared" si="109"/>
        <v>0</v>
      </c>
      <c r="N77" s="46">
        <f t="shared" si="109"/>
        <v>0</v>
      </c>
      <c r="O77" s="46">
        <f t="shared" si="109"/>
        <v>0</v>
      </c>
      <c r="P77" s="46">
        <f t="shared" si="109"/>
        <v>0</v>
      </c>
      <c r="Q77" s="116"/>
      <c r="R77" s="45">
        <f t="shared" ref="R77:BQ77" si="110">SUBTOTAL(9,R75:R76)</f>
        <v>0</v>
      </c>
      <c r="S77" s="45">
        <f t="shared" si="110"/>
        <v>0</v>
      </c>
      <c r="T77" s="46">
        <f t="shared" si="110"/>
        <v>0</v>
      </c>
      <c r="U77" s="46">
        <f t="shared" si="110"/>
        <v>0</v>
      </c>
      <c r="V77" s="46">
        <f t="shared" si="110"/>
        <v>0</v>
      </c>
      <c r="W77" s="46">
        <f t="shared" si="110"/>
        <v>0</v>
      </c>
      <c r="X77" s="47"/>
      <c r="Y77" s="45">
        <f>SUBTOTAL(9,Y75:Y76)</f>
        <v>0</v>
      </c>
      <c r="Z77" s="45"/>
      <c r="AA77" s="45"/>
      <c r="AB77" s="45"/>
      <c r="AC77" s="45"/>
      <c r="AD77" s="48"/>
      <c r="AE77" s="48"/>
      <c r="AF77" s="45"/>
      <c r="AG77" s="44">
        <f t="shared" si="110"/>
        <v>447.05920000000009</v>
      </c>
      <c r="AH77" s="44">
        <f t="shared" si="110"/>
        <v>78.892800000000008</v>
      </c>
      <c r="AI77" s="44">
        <f t="shared" si="110"/>
        <v>131.48800000000003</v>
      </c>
      <c r="AJ77" s="45">
        <f t="shared" si="110"/>
        <v>0</v>
      </c>
      <c r="AK77" s="44">
        <f t="shared" si="110"/>
        <v>7258.9285714285706</v>
      </c>
      <c r="AL77" s="44">
        <f t="shared" si="110"/>
        <v>7072.1785714285706</v>
      </c>
      <c r="AM77" s="44">
        <f t="shared" si="110"/>
        <v>848.66142857142847</v>
      </c>
      <c r="AN77" s="44">
        <f t="shared" ref="AN77:AN102" si="111">+AM77+AL77+AJ77</f>
        <v>7920.8399999999992</v>
      </c>
      <c r="AO77" s="49">
        <f t="shared" si="110"/>
        <v>195</v>
      </c>
      <c r="AP77" s="49">
        <f t="shared" si="110"/>
        <v>0</v>
      </c>
      <c r="AQ77" s="49">
        <f t="shared" si="110"/>
        <v>0</v>
      </c>
      <c r="AR77" s="49">
        <f t="shared" si="110"/>
        <v>0</v>
      </c>
      <c r="AS77" s="49">
        <f t="shared" si="110"/>
        <v>0</v>
      </c>
      <c r="AT77" s="49">
        <f t="shared" si="110"/>
        <v>0</v>
      </c>
      <c r="AU77" s="49">
        <f>SUBTOTAL(9,AU75:AU76)</f>
        <v>0</v>
      </c>
      <c r="AV77" s="49">
        <f t="shared" si="110"/>
        <v>0</v>
      </c>
      <c r="AW77" s="49">
        <f t="shared" si="110"/>
        <v>0</v>
      </c>
      <c r="AX77" s="49">
        <f t="shared" si="110"/>
        <v>0</v>
      </c>
      <c r="AY77" s="49">
        <f t="shared" si="110"/>
        <v>0</v>
      </c>
      <c r="AZ77" s="44">
        <f t="shared" si="110"/>
        <v>195</v>
      </c>
      <c r="BA77" s="48">
        <f t="shared" si="110"/>
        <v>333</v>
      </c>
      <c r="BB77" s="48">
        <f t="shared" si="110"/>
        <v>0</v>
      </c>
      <c r="BC77" s="44">
        <f t="shared" si="110"/>
        <v>0</v>
      </c>
      <c r="BD77" s="44">
        <f t="shared" si="110"/>
        <v>0</v>
      </c>
      <c r="BE77" s="49">
        <f t="shared" si="110"/>
        <v>0</v>
      </c>
      <c r="BF77" s="49">
        <f>SUBTOTAL(9,BF75:BF76)</f>
        <v>0</v>
      </c>
      <c r="BG77" s="49">
        <f t="shared" si="110"/>
        <v>0</v>
      </c>
      <c r="BH77" s="49">
        <f t="shared" si="110"/>
        <v>0</v>
      </c>
      <c r="BI77" s="49">
        <f t="shared" si="110"/>
        <v>0</v>
      </c>
      <c r="BJ77" s="49">
        <f t="shared" si="110"/>
        <v>0</v>
      </c>
      <c r="BK77" s="49">
        <f t="shared" si="110"/>
        <v>0</v>
      </c>
      <c r="BL77" s="49">
        <f t="shared" si="110"/>
        <v>0</v>
      </c>
      <c r="BM77" s="49">
        <f t="shared" si="110"/>
        <v>0</v>
      </c>
      <c r="BN77" s="49">
        <f t="shared" si="110"/>
        <v>0</v>
      </c>
      <c r="BO77" s="49">
        <f t="shared" si="110"/>
        <v>0</v>
      </c>
      <c r="BP77" s="49">
        <f t="shared" si="110"/>
        <v>0</v>
      </c>
      <c r="BQ77" s="49">
        <f t="shared" si="110"/>
        <v>0</v>
      </c>
      <c r="BR77" s="44">
        <f>SUBTOTAL(9,BR75:BR76)</f>
        <v>528</v>
      </c>
    </row>
    <row r="78" spans="1:97">
      <c r="A78" s="175">
        <f>+A75+1</f>
        <v>43275</v>
      </c>
      <c r="B78" s="16" t="s">
        <v>43</v>
      </c>
      <c r="C78" s="33" t="s">
        <v>156</v>
      </c>
      <c r="D78" s="34"/>
      <c r="E78" s="34"/>
      <c r="F78" s="171"/>
      <c r="G78" s="33">
        <f>IF(E78-D78&lt;0,E78-D78,0)*-1</f>
        <v>0</v>
      </c>
      <c r="H78" s="33">
        <f>IF(E78-D78&gt;0,E78-D78,0)</f>
        <v>0</v>
      </c>
      <c r="I78" s="34"/>
      <c r="J78" s="34"/>
      <c r="K78" s="34"/>
      <c r="L78" s="34"/>
      <c r="M78" s="36">
        <f>(+K78)*M$5</f>
        <v>0</v>
      </c>
      <c r="N78" s="36">
        <f>(+K78)*N$5</f>
        <v>0</v>
      </c>
      <c r="O78" s="36">
        <f>+K78-M78-N78+P78</f>
        <v>0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/>
      <c r="AA78" s="34"/>
      <c r="AB78" s="34"/>
      <c r="AC78" s="34"/>
      <c r="AD78" s="38"/>
      <c r="AE78" s="38"/>
      <c r="AF78" s="34"/>
      <c r="AG78" s="33">
        <f>(AF78*0.8)*0.85</f>
        <v>0</v>
      </c>
      <c r="AH78" s="33">
        <f>(AF78*0.8)*0.15</f>
        <v>0</v>
      </c>
      <c r="AI78" s="33">
        <f>AF78*0.2</f>
        <v>0</v>
      </c>
      <c r="AJ78" s="34"/>
      <c r="AK78" s="33">
        <v>0</v>
      </c>
      <c r="AL78" s="33">
        <f>AK78-SUM(Y78:AC78)</f>
        <v>0</v>
      </c>
      <c r="AM78" s="33">
        <f>+AL78*0.12</f>
        <v>0</v>
      </c>
      <c r="AN78" s="33">
        <f t="shared" si="111"/>
        <v>0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.75" thickBot="1">
      <c r="A79" s="176"/>
      <c r="B79" s="16" t="s">
        <v>44</v>
      </c>
      <c r="C79" s="33"/>
      <c r="D79" s="34"/>
      <c r="E79" s="34"/>
      <c r="F79" s="171"/>
      <c r="G79" s="33">
        <f>IF(E79-D79&lt;0,E79-D79,0)*-1</f>
        <v>0</v>
      </c>
      <c r="H79" s="33">
        <f>IF(E79-D79&gt;0,E79-D79,0)</f>
        <v>0</v>
      </c>
      <c r="I79" s="34"/>
      <c r="J79" s="34"/>
      <c r="K79" s="34"/>
      <c r="L79" s="34"/>
      <c r="M79" s="36">
        <f>(+K79)*M$5</f>
        <v>0</v>
      </c>
      <c r="N79" s="36">
        <f>(+K79)*N$5</f>
        <v>0</v>
      </c>
      <c r="O79" s="36">
        <f>+K79-M79-N79+P79</f>
        <v>0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/>
      <c r="AA79" s="34"/>
      <c r="AB79" s="34"/>
      <c r="AC79" s="34"/>
      <c r="AD79" s="38"/>
      <c r="AE79" s="38"/>
      <c r="AF79" s="34"/>
      <c r="AG79" s="33">
        <f>(AF79*0.8)*0.85</f>
        <v>0</v>
      </c>
      <c r="AH79" s="33">
        <f>(AF79*0.8)*0.15</f>
        <v>0</v>
      </c>
      <c r="AI79" s="33">
        <f>AF79*0.2</f>
        <v>0</v>
      </c>
      <c r="AJ79" s="34"/>
      <c r="AK79" s="33">
        <f>(C79-AF79-AJ79)/1.12</f>
        <v>0</v>
      </c>
      <c r="AL79" s="33">
        <f>AK79-SUM(Y79:AC79)</f>
        <v>0</v>
      </c>
      <c r="AM79" s="33">
        <f>+AL79*0.12</f>
        <v>0</v>
      </c>
      <c r="AN79" s="33">
        <f t="shared" si="111"/>
        <v>0</v>
      </c>
      <c r="AO79" s="39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0</v>
      </c>
      <c r="BA79" s="38"/>
      <c r="BB79" s="38"/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0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>
      <c r="A80" s="42"/>
      <c r="B80" s="43"/>
      <c r="C80" s="44">
        <f>SUBTOTAL(9,C78:C79)</f>
        <v>0</v>
      </c>
      <c r="D80" s="45">
        <f>SUBTOTAL(9,D78:D79)</f>
        <v>0</v>
      </c>
      <c r="E80" s="45">
        <f>SUBTOTAL(9,E78:E79)</f>
        <v>0</v>
      </c>
      <c r="F80" s="172"/>
      <c r="G80" s="45">
        <f t="shared" ref="G80:P80" si="112">SUBTOTAL(9,G78:G79)</f>
        <v>0</v>
      </c>
      <c r="H80" s="45">
        <f t="shared" si="112"/>
        <v>0</v>
      </c>
      <c r="I80" s="45"/>
      <c r="J80" s="45">
        <f t="shared" si="112"/>
        <v>0</v>
      </c>
      <c r="K80" s="45"/>
      <c r="L80" s="45">
        <f t="shared" si="112"/>
        <v>0</v>
      </c>
      <c r="M80" s="46">
        <f t="shared" si="112"/>
        <v>0</v>
      </c>
      <c r="N80" s="46">
        <f t="shared" si="112"/>
        <v>0</v>
      </c>
      <c r="O80" s="46">
        <f t="shared" si="112"/>
        <v>0</v>
      </c>
      <c r="P80" s="46">
        <f t="shared" si="112"/>
        <v>0</v>
      </c>
      <c r="Q80" s="47"/>
      <c r="R80" s="45">
        <f t="shared" ref="R80:BQ80" si="113">SUBTOTAL(9,R78:R79)</f>
        <v>0</v>
      </c>
      <c r="S80" s="45">
        <f t="shared" si="113"/>
        <v>0</v>
      </c>
      <c r="T80" s="46">
        <f t="shared" si="113"/>
        <v>0</v>
      </c>
      <c r="U80" s="46">
        <f t="shared" si="113"/>
        <v>0</v>
      </c>
      <c r="V80" s="46">
        <f t="shared" si="113"/>
        <v>0</v>
      </c>
      <c r="W80" s="46">
        <f t="shared" si="113"/>
        <v>0</v>
      </c>
      <c r="X80" s="47"/>
      <c r="Y80" s="45">
        <f>SUBTOTAL(9,Y78:Y79)</f>
        <v>0</v>
      </c>
      <c r="Z80" s="45"/>
      <c r="AA80" s="45"/>
      <c r="AB80" s="45"/>
      <c r="AC80" s="45"/>
      <c r="AD80" s="48"/>
      <c r="AE80" s="48"/>
      <c r="AF80" s="45"/>
      <c r="AG80" s="44">
        <f t="shared" si="113"/>
        <v>0</v>
      </c>
      <c r="AH80" s="44">
        <f t="shared" si="113"/>
        <v>0</v>
      </c>
      <c r="AI80" s="44">
        <f t="shared" si="113"/>
        <v>0</v>
      </c>
      <c r="AJ80" s="45">
        <f t="shared" si="113"/>
        <v>0</v>
      </c>
      <c r="AK80" s="44">
        <f t="shared" si="113"/>
        <v>0</v>
      </c>
      <c r="AL80" s="44">
        <f t="shared" si="113"/>
        <v>0</v>
      </c>
      <c r="AM80" s="44">
        <f t="shared" si="113"/>
        <v>0</v>
      </c>
      <c r="AN80" s="44">
        <f t="shared" si="111"/>
        <v>0</v>
      </c>
      <c r="AO80" s="49">
        <f t="shared" si="113"/>
        <v>0</v>
      </c>
      <c r="AP80" s="49">
        <f t="shared" si="113"/>
        <v>0</v>
      </c>
      <c r="AQ80" s="49">
        <f t="shared" si="113"/>
        <v>0</v>
      </c>
      <c r="AR80" s="49">
        <f t="shared" si="113"/>
        <v>0</v>
      </c>
      <c r="AS80" s="49">
        <f t="shared" si="113"/>
        <v>0</v>
      </c>
      <c r="AT80" s="49">
        <f t="shared" si="113"/>
        <v>0</v>
      </c>
      <c r="AU80" s="49">
        <f>SUBTOTAL(9,AU78:AU79)</f>
        <v>0</v>
      </c>
      <c r="AV80" s="49">
        <f t="shared" si="113"/>
        <v>0</v>
      </c>
      <c r="AW80" s="49">
        <f t="shared" si="113"/>
        <v>0</v>
      </c>
      <c r="AX80" s="49">
        <f t="shared" si="113"/>
        <v>0</v>
      </c>
      <c r="AY80" s="49">
        <f t="shared" si="113"/>
        <v>0</v>
      </c>
      <c r="AZ80" s="44">
        <f t="shared" si="113"/>
        <v>0</v>
      </c>
      <c r="BA80" s="48">
        <f t="shared" si="113"/>
        <v>0</v>
      </c>
      <c r="BB80" s="48">
        <f t="shared" si="113"/>
        <v>0</v>
      </c>
      <c r="BC80" s="44">
        <f t="shared" si="113"/>
        <v>0</v>
      </c>
      <c r="BD80" s="44">
        <f t="shared" si="113"/>
        <v>0</v>
      </c>
      <c r="BE80" s="49">
        <f t="shared" si="113"/>
        <v>0</v>
      </c>
      <c r="BF80" s="49">
        <f>SUBTOTAL(9,BF78:BF79)</f>
        <v>0</v>
      </c>
      <c r="BG80" s="49">
        <f t="shared" si="113"/>
        <v>0</v>
      </c>
      <c r="BH80" s="49">
        <f t="shared" si="113"/>
        <v>0</v>
      </c>
      <c r="BI80" s="49">
        <f t="shared" si="113"/>
        <v>0</v>
      </c>
      <c r="BJ80" s="49">
        <f t="shared" si="113"/>
        <v>0</v>
      </c>
      <c r="BK80" s="49">
        <f t="shared" si="113"/>
        <v>0</v>
      </c>
      <c r="BL80" s="49">
        <f t="shared" si="113"/>
        <v>0</v>
      </c>
      <c r="BM80" s="49">
        <f t="shared" si="113"/>
        <v>0</v>
      </c>
      <c r="BN80" s="49">
        <f t="shared" si="113"/>
        <v>0</v>
      </c>
      <c r="BO80" s="49">
        <f t="shared" si="113"/>
        <v>0</v>
      </c>
      <c r="BP80" s="49">
        <f t="shared" si="113"/>
        <v>0</v>
      </c>
      <c r="BQ80" s="49">
        <f t="shared" si="113"/>
        <v>0</v>
      </c>
      <c r="BR80" s="44">
        <f>SUBTOTAL(9,BR78:BR79)</f>
        <v>0</v>
      </c>
    </row>
    <row r="81" spans="1:97">
      <c r="A81" s="175">
        <f>+A78+1</f>
        <v>43276</v>
      </c>
      <c r="B81" s="16" t="s">
        <v>43</v>
      </c>
      <c r="C81" s="33">
        <v>9183.06</v>
      </c>
      <c r="D81" s="34">
        <v>9105.6299999999992</v>
      </c>
      <c r="E81" s="34">
        <v>9106</v>
      </c>
      <c r="F81" s="171">
        <v>43276</v>
      </c>
      <c r="G81" s="33">
        <f>IF(E81-D81&lt;0,E81-D81,0)*-1</f>
        <v>0</v>
      </c>
      <c r="H81" s="33">
        <f>IF(E81-D81&gt;0,E81-D81,0)</f>
        <v>0.37000000000080036</v>
      </c>
      <c r="I81" s="34"/>
      <c r="J81" s="34"/>
      <c r="K81" s="34"/>
      <c r="L81" s="34"/>
      <c r="M81" s="36">
        <f>(+K81)*M$5</f>
        <v>0</v>
      </c>
      <c r="N81" s="36">
        <f>(+K81)*N$5</f>
        <v>0</v>
      </c>
      <c r="O81" s="36">
        <f>+K81-M81-N81+P81</f>
        <v>0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>
        <v>12.25</v>
      </c>
      <c r="AA81" s="34"/>
      <c r="AB81" s="34"/>
      <c r="AC81" s="34">
        <v>65.180000000000007</v>
      </c>
      <c r="AD81" s="38"/>
      <c r="AE81" s="38"/>
      <c r="AF81" s="34">
        <v>699.17</v>
      </c>
      <c r="AG81" s="33">
        <f>(AF81*0.8)*0.85</f>
        <v>475.43560000000002</v>
      </c>
      <c r="AH81" s="33">
        <f>(AF81*0.8)*0.15</f>
        <v>83.900400000000005</v>
      </c>
      <c r="AI81" s="33">
        <f>AF81*0.2</f>
        <v>139.834</v>
      </c>
      <c r="AJ81" s="34"/>
      <c r="AK81" s="33">
        <f t="shared" ref="AK81:AK82" si="114">(C81-AF81-AJ81)/1.12</f>
        <v>7574.9017857142844</v>
      </c>
      <c r="AL81" s="33">
        <f t="shared" ref="AL81:AL82" si="115">AK81-SUM(Y81:AC81)</f>
        <v>7497.4717857142841</v>
      </c>
      <c r="AM81" s="33">
        <f t="shared" ref="AM81:AM82" si="116">+AL81*0.12</f>
        <v>899.69661428571408</v>
      </c>
      <c r="AN81" s="33">
        <f t="shared" ref="AN81:AN82" si="117">+AM81+AL81+AJ81</f>
        <v>8397.1683999999987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>
      <c r="A82" s="176"/>
      <c r="B82" s="16" t="s">
        <v>44</v>
      </c>
      <c r="C82" s="33">
        <v>25433.759999999998</v>
      </c>
      <c r="D82" s="34">
        <v>14822.24</v>
      </c>
      <c r="E82" s="34">
        <v>14822</v>
      </c>
      <c r="F82" s="171">
        <v>43277</v>
      </c>
      <c r="G82" s="33">
        <f>IF(E82-D82&lt;0,E82-D82,0)*-1</f>
        <v>0.23999999999978172</v>
      </c>
      <c r="H82" s="33">
        <f>IF(E82-D82&gt;0,E82-D82,0)</f>
        <v>0</v>
      </c>
      <c r="I82" s="34"/>
      <c r="J82" s="34"/>
      <c r="K82" s="34">
        <v>10222.82</v>
      </c>
      <c r="L82" s="34"/>
      <c r="M82" s="36">
        <f>(+K82)*M$5</f>
        <v>219.79062999999996</v>
      </c>
      <c r="N82" s="36">
        <f>(+K82)*N$5</f>
        <v>51.114100000000001</v>
      </c>
      <c r="O82" s="36">
        <f>+K82-M82-N82+P82</f>
        <v>9951.9152699999995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f>101+101.1</f>
        <v>202.1</v>
      </c>
      <c r="AA82" s="34"/>
      <c r="AB82" s="34"/>
      <c r="AC82" s="34">
        <v>186.6</v>
      </c>
      <c r="AD82" s="38"/>
      <c r="AE82" s="38"/>
      <c r="AF82" s="34">
        <v>1965.73</v>
      </c>
      <c r="AG82" s="33">
        <f>(AF82*0.8)*0.85</f>
        <v>1336.6964</v>
      </c>
      <c r="AH82" s="33">
        <f>(AF82*0.8)*0.15</f>
        <v>235.88759999999999</v>
      </c>
      <c r="AI82" s="33">
        <f>AF82*0.2</f>
        <v>393.14600000000002</v>
      </c>
      <c r="AJ82" s="34"/>
      <c r="AK82" s="33">
        <f t="shared" si="114"/>
        <v>20953.59821428571</v>
      </c>
      <c r="AL82" s="33">
        <f t="shared" si="115"/>
        <v>20564.898214285709</v>
      </c>
      <c r="AM82" s="33">
        <f t="shared" si="116"/>
        <v>2467.7877857142848</v>
      </c>
      <c r="AN82" s="33">
        <f t="shared" si="117"/>
        <v>23032.685999999994</v>
      </c>
      <c r="AO82" s="39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33">
        <f>SUM(AO82:AY82)</f>
        <v>0</v>
      </c>
      <c r="BA82" s="38"/>
      <c r="BB82" s="38"/>
      <c r="BC82" s="33">
        <v>0</v>
      </c>
      <c r="BD82" s="33">
        <v>0</v>
      </c>
      <c r="BE82" s="39"/>
      <c r="BF82" s="39"/>
      <c r="BG82" s="39">
        <v>150</v>
      </c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0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.75" thickBot="1">
      <c r="A83" s="42"/>
      <c r="B83" s="43"/>
      <c r="C83" s="44">
        <f>SUBTOTAL(9,C81:C82)</f>
        <v>34616.82</v>
      </c>
      <c r="D83" s="45">
        <f>SUBTOTAL(9,D81:D82)</f>
        <v>23927.87</v>
      </c>
      <c r="E83" s="45">
        <f>SUBTOTAL(9,E81:E82)</f>
        <v>23928</v>
      </c>
      <c r="F83" s="172"/>
      <c r="G83" s="45">
        <f t="shared" ref="G83:P83" si="118">SUBTOTAL(9,G81:G82)</f>
        <v>0.23999999999978172</v>
      </c>
      <c r="H83" s="45">
        <f t="shared" si="118"/>
        <v>0.37000000000080036</v>
      </c>
      <c r="I83" s="45">
        <f t="shared" si="118"/>
        <v>0</v>
      </c>
      <c r="J83" s="45">
        <f t="shared" si="118"/>
        <v>0</v>
      </c>
      <c r="K83" s="45"/>
      <c r="L83" s="45">
        <f t="shared" si="118"/>
        <v>0</v>
      </c>
      <c r="M83" s="46">
        <f t="shared" si="118"/>
        <v>219.79062999999996</v>
      </c>
      <c r="N83" s="46">
        <f t="shared" si="118"/>
        <v>51.114100000000001</v>
      </c>
      <c r="O83" s="46">
        <f t="shared" si="118"/>
        <v>9951.9152699999995</v>
      </c>
      <c r="P83" s="46">
        <f t="shared" si="118"/>
        <v>0</v>
      </c>
      <c r="Q83" s="47"/>
      <c r="R83" s="45">
        <f t="shared" ref="R83:BQ83" si="119">SUBTOTAL(9,R81:R82)</f>
        <v>0</v>
      </c>
      <c r="S83" s="45">
        <f t="shared" si="119"/>
        <v>0</v>
      </c>
      <c r="T83" s="46">
        <f t="shared" si="119"/>
        <v>0</v>
      </c>
      <c r="U83" s="46">
        <f t="shared" si="119"/>
        <v>0</v>
      </c>
      <c r="V83" s="46">
        <f t="shared" si="119"/>
        <v>0</v>
      </c>
      <c r="W83" s="46">
        <f t="shared" si="119"/>
        <v>0</v>
      </c>
      <c r="X83" s="47"/>
      <c r="Y83" s="45">
        <f>SUBTOTAL(9,Y81:Y82)</f>
        <v>0</v>
      </c>
      <c r="Z83" s="45"/>
      <c r="AA83" s="45"/>
      <c r="AB83" s="45"/>
      <c r="AC83" s="45"/>
      <c r="AD83" s="48"/>
      <c r="AE83" s="48"/>
      <c r="AF83" s="45"/>
      <c r="AG83" s="44">
        <f t="shared" si="119"/>
        <v>1812.1320000000001</v>
      </c>
      <c r="AH83" s="44">
        <f t="shared" si="119"/>
        <v>319.78800000000001</v>
      </c>
      <c r="AI83" s="44">
        <f t="shared" si="119"/>
        <v>532.98</v>
      </c>
      <c r="AJ83" s="45">
        <f t="shared" si="119"/>
        <v>0</v>
      </c>
      <c r="AK83" s="44">
        <f t="shared" si="119"/>
        <v>28528.499999999993</v>
      </c>
      <c r="AL83" s="44">
        <f t="shared" si="119"/>
        <v>28062.369999999995</v>
      </c>
      <c r="AM83" s="44">
        <f t="shared" si="119"/>
        <v>3367.4843999999989</v>
      </c>
      <c r="AN83" s="44">
        <f t="shared" si="111"/>
        <v>31429.854399999993</v>
      </c>
      <c r="AO83" s="49">
        <f t="shared" si="119"/>
        <v>0</v>
      </c>
      <c r="AP83" s="49">
        <f t="shared" si="119"/>
        <v>0</v>
      </c>
      <c r="AQ83" s="49">
        <f t="shared" si="119"/>
        <v>0</v>
      </c>
      <c r="AR83" s="49">
        <f t="shared" si="119"/>
        <v>0</v>
      </c>
      <c r="AS83" s="49">
        <f t="shared" si="119"/>
        <v>0</v>
      </c>
      <c r="AT83" s="49">
        <f t="shared" si="119"/>
        <v>0</v>
      </c>
      <c r="AU83" s="49">
        <f>SUBTOTAL(9,AU81:AU82)</f>
        <v>0</v>
      </c>
      <c r="AV83" s="49">
        <f t="shared" si="119"/>
        <v>0</v>
      </c>
      <c r="AW83" s="49">
        <f t="shared" si="119"/>
        <v>0</v>
      </c>
      <c r="AX83" s="49">
        <f t="shared" si="119"/>
        <v>0</v>
      </c>
      <c r="AY83" s="49">
        <f t="shared" si="119"/>
        <v>0</v>
      </c>
      <c r="AZ83" s="44">
        <f t="shared" si="119"/>
        <v>0</v>
      </c>
      <c r="BA83" s="48" t="s">
        <v>1</v>
      </c>
      <c r="BB83" s="48">
        <f t="shared" si="119"/>
        <v>0</v>
      </c>
      <c r="BC83" s="44">
        <f t="shared" si="119"/>
        <v>0</v>
      </c>
      <c r="BD83" s="44">
        <f t="shared" si="119"/>
        <v>0</v>
      </c>
      <c r="BE83" s="49">
        <f t="shared" si="119"/>
        <v>0</v>
      </c>
      <c r="BF83" s="49">
        <f>SUBTOTAL(9,BF81:BF82)</f>
        <v>0</v>
      </c>
      <c r="BG83" s="49"/>
      <c r="BH83" s="49">
        <f t="shared" si="119"/>
        <v>0</v>
      </c>
      <c r="BI83" s="49">
        <f t="shared" si="119"/>
        <v>0</v>
      </c>
      <c r="BJ83" s="49">
        <f t="shared" si="119"/>
        <v>0</v>
      </c>
      <c r="BK83" s="49">
        <f t="shared" si="119"/>
        <v>0</v>
      </c>
      <c r="BL83" s="49">
        <f t="shared" si="119"/>
        <v>0</v>
      </c>
      <c r="BM83" s="49">
        <f t="shared" si="119"/>
        <v>0</v>
      </c>
      <c r="BN83" s="49">
        <f t="shared" si="119"/>
        <v>0</v>
      </c>
      <c r="BO83" s="49">
        <f t="shared" si="119"/>
        <v>0</v>
      </c>
      <c r="BP83" s="49">
        <f t="shared" si="119"/>
        <v>0</v>
      </c>
      <c r="BQ83" s="49">
        <f t="shared" si="119"/>
        <v>0</v>
      </c>
      <c r="BR83" s="44">
        <f>SUBTOTAL(9,BR81:BR82)</f>
        <v>0</v>
      </c>
    </row>
    <row r="84" spans="1:97">
      <c r="A84" s="175">
        <f>+A81+1</f>
        <v>43277</v>
      </c>
      <c r="B84" s="32" t="s">
        <v>43</v>
      </c>
      <c r="C84" s="33">
        <v>11893.71</v>
      </c>
      <c r="D84" s="34">
        <v>11059.67</v>
      </c>
      <c r="E84" s="34">
        <v>11060</v>
      </c>
      <c r="F84" s="171">
        <v>43277</v>
      </c>
      <c r="G84" s="33">
        <f>IF(E84-D84&lt;0,E84-D84,0)*-1</f>
        <v>0</v>
      </c>
      <c r="H84" s="33">
        <f>IF(E84-D84&gt;0,E84-D84,0)</f>
        <v>0.32999999999992724</v>
      </c>
      <c r="I84" s="34"/>
      <c r="J84" s="34"/>
      <c r="K84" s="34">
        <v>697.14</v>
      </c>
      <c r="L84" s="34"/>
      <c r="M84" s="36">
        <f>(+K84)*M$5</f>
        <v>14.988509999999998</v>
      </c>
      <c r="N84" s="36">
        <f>(+K84)*N$5</f>
        <v>3.4857</v>
      </c>
      <c r="O84" s="36">
        <f>+K84-M84-N84+P84</f>
        <v>678.66579000000002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>
        <v>139.9</v>
      </c>
      <c r="AD84" s="38"/>
      <c r="AE84" s="38"/>
      <c r="AF84" s="34">
        <v>850.86</v>
      </c>
      <c r="AG84" s="33">
        <f>(AF84*0.8)*0.85</f>
        <v>578.58480000000009</v>
      </c>
      <c r="AH84" s="33">
        <f>(AF84*0.8)*0.15</f>
        <v>102.10320000000002</v>
      </c>
      <c r="AI84" s="33">
        <f>AF84*0.2</f>
        <v>170.17200000000003</v>
      </c>
      <c r="AJ84" s="34"/>
      <c r="AK84" s="33">
        <f t="shared" ref="AK84:AK85" si="120">(C84-AF84-AJ84)/1.12</f>
        <v>9859.6874999999982</v>
      </c>
      <c r="AL84" s="33">
        <f t="shared" ref="AL84:AL85" si="121">AK84-SUM(Y84:AC84)</f>
        <v>9719.7874999999985</v>
      </c>
      <c r="AM84" s="33">
        <f t="shared" ref="AM84:AM85" si="122">+AL84*0.12</f>
        <v>1166.3744999999997</v>
      </c>
      <c r="AN84" s="33">
        <f t="shared" si="111"/>
        <v>10886.161999999998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.75" thickBot="1">
      <c r="A85" s="176"/>
      <c r="B85" s="15" t="s">
        <v>44</v>
      </c>
      <c r="C85" s="33">
        <v>20395.8</v>
      </c>
      <c r="D85" s="34">
        <v>16067.92</v>
      </c>
      <c r="E85" s="34">
        <v>16069</v>
      </c>
      <c r="F85" s="171">
        <v>43278</v>
      </c>
      <c r="G85" s="33">
        <f>IF(E85-D85&lt;0,E85-D85,0)*-1</f>
        <v>0</v>
      </c>
      <c r="H85" s="33">
        <f>IF(E85-D85&gt;0,E85-D85,0)</f>
        <v>1.0799999999999272</v>
      </c>
      <c r="I85" s="34"/>
      <c r="J85" s="34"/>
      <c r="K85" s="34">
        <v>3529.28</v>
      </c>
      <c r="L85" s="34"/>
      <c r="M85" s="36">
        <f>(+K85)*M$5</f>
        <v>75.879519999999999</v>
      </c>
      <c r="N85" s="36">
        <f>(+K85)*N$5</f>
        <v>17.6464</v>
      </c>
      <c r="O85" s="36">
        <f>+K85-M85-N85+P85</f>
        <v>3435.7540800000002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f>127.6+92</f>
        <v>219.6</v>
      </c>
      <c r="AA85" s="34"/>
      <c r="AB85" s="34"/>
      <c r="AC85" s="34"/>
      <c r="AD85" s="38" t="s">
        <v>158</v>
      </c>
      <c r="AE85" s="38">
        <v>79</v>
      </c>
      <c r="AF85" s="34">
        <v>1508.8</v>
      </c>
      <c r="AG85" s="33">
        <f>(AF85*0.8)*0.85</f>
        <v>1025.9839999999999</v>
      </c>
      <c r="AH85" s="33">
        <f>(AF85*0.8)*0.15</f>
        <v>181.05599999999998</v>
      </c>
      <c r="AI85" s="33">
        <f>AF85*0.2</f>
        <v>301.76</v>
      </c>
      <c r="AJ85" s="34"/>
      <c r="AK85" s="33">
        <f t="shared" si="120"/>
        <v>16863.392857142855</v>
      </c>
      <c r="AL85" s="33">
        <f t="shared" si="121"/>
        <v>16643.792857142857</v>
      </c>
      <c r="AM85" s="33">
        <f t="shared" si="122"/>
        <v>1997.2551428571428</v>
      </c>
      <c r="AN85" s="33">
        <f t="shared" si="111"/>
        <v>18641.047999999999</v>
      </c>
      <c r="AO85" s="39"/>
      <c r="AP85" s="40">
        <v>155</v>
      </c>
      <c r="AQ85" s="40"/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155</v>
      </c>
      <c r="BA85" s="38"/>
      <c r="BB85" s="38"/>
      <c r="BC85" s="33"/>
      <c r="BD85" s="33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155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>
      <c r="A86" s="42"/>
      <c r="B86" s="43"/>
      <c r="C86" s="44">
        <f>SUBTOTAL(9,C84:C85)</f>
        <v>32289.51</v>
      </c>
      <c r="D86" s="45">
        <f>SUBTOTAL(9,D84:D85)</f>
        <v>27127.59</v>
      </c>
      <c r="E86" s="45">
        <f>SUBTOTAL(9,E84:E85)</f>
        <v>27129</v>
      </c>
      <c r="F86" s="172"/>
      <c r="G86" s="45">
        <f t="shared" ref="G86:P86" si="123">SUBTOTAL(9,G84:G85)</f>
        <v>0</v>
      </c>
      <c r="H86" s="45">
        <f t="shared" si="123"/>
        <v>1.4099999999998545</v>
      </c>
      <c r="I86" s="45">
        <f t="shared" si="123"/>
        <v>0</v>
      </c>
      <c r="J86" s="45">
        <f t="shared" si="123"/>
        <v>0</v>
      </c>
      <c r="K86" s="45"/>
      <c r="L86" s="45">
        <f t="shared" si="123"/>
        <v>0</v>
      </c>
      <c r="M86" s="46">
        <f t="shared" si="123"/>
        <v>90.868030000000005</v>
      </c>
      <c r="N86" s="46">
        <f t="shared" si="123"/>
        <v>21.132100000000001</v>
      </c>
      <c r="O86" s="46">
        <f t="shared" si="123"/>
        <v>4114.4198699999997</v>
      </c>
      <c r="P86" s="46">
        <f t="shared" si="123"/>
        <v>0</v>
      </c>
      <c r="Q86" s="47"/>
      <c r="R86" s="45">
        <f t="shared" ref="R86:BQ86" si="124">SUBTOTAL(9,R84:R85)</f>
        <v>0</v>
      </c>
      <c r="S86" s="45">
        <f t="shared" si="124"/>
        <v>0</v>
      </c>
      <c r="T86" s="46">
        <f t="shared" si="124"/>
        <v>0</v>
      </c>
      <c r="U86" s="46">
        <f t="shared" si="124"/>
        <v>0</v>
      </c>
      <c r="V86" s="46">
        <f t="shared" si="124"/>
        <v>0</v>
      </c>
      <c r="W86" s="46">
        <f t="shared" si="124"/>
        <v>0</v>
      </c>
      <c r="X86" s="47"/>
      <c r="Y86" s="45">
        <f>SUBTOTAL(9,Y84:Y85)</f>
        <v>0</v>
      </c>
      <c r="Z86" s="45"/>
      <c r="AA86" s="45"/>
      <c r="AB86" s="45"/>
      <c r="AC86" s="45"/>
      <c r="AD86" s="48"/>
      <c r="AE86" s="48"/>
      <c r="AF86" s="45"/>
      <c r="AG86" s="44">
        <f t="shared" si="124"/>
        <v>1604.5688</v>
      </c>
      <c r="AH86" s="44">
        <f t="shared" si="124"/>
        <v>283.1592</v>
      </c>
      <c r="AI86" s="44">
        <f t="shared" si="124"/>
        <v>471.93200000000002</v>
      </c>
      <c r="AJ86" s="45">
        <f t="shared" si="124"/>
        <v>0</v>
      </c>
      <c r="AK86" s="44">
        <f t="shared" si="124"/>
        <v>26723.080357142855</v>
      </c>
      <c r="AL86" s="44">
        <f t="shared" si="124"/>
        <v>26363.580357142855</v>
      </c>
      <c r="AM86" s="44">
        <f t="shared" si="124"/>
        <v>3163.6296428571422</v>
      </c>
      <c r="AN86" s="44">
        <f t="shared" si="111"/>
        <v>29527.21</v>
      </c>
      <c r="AO86" s="49">
        <f t="shared" si="124"/>
        <v>0</v>
      </c>
      <c r="AP86" s="49">
        <f t="shared" si="124"/>
        <v>155</v>
      </c>
      <c r="AQ86" s="49">
        <f t="shared" si="124"/>
        <v>0</v>
      </c>
      <c r="AR86" s="49">
        <f t="shared" si="124"/>
        <v>0</v>
      </c>
      <c r="AS86" s="49">
        <f t="shared" si="124"/>
        <v>0</v>
      </c>
      <c r="AT86" s="49">
        <f t="shared" si="124"/>
        <v>0</v>
      </c>
      <c r="AU86" s="49">
        <f>SUBTOTAL(9,AU84:AU85)</f>
        <v>0</v>
      </c>
      <c r="AV86" s="49">
        <f t="shared" si="124"/>
        <v>0</v>
      </c>
      <c r="AW86" s="49">
        <f t="shared" si="124"/>
        <v>0</v>
      </c>
      <c r="AX86" s="49">
        <f t="shared" si="124"/>
        <v>0</v>
      </c>
      <c r="AY86" s="49">
        <f t="shared" si="124"/>
        <v>0</v>
      </c>
      <c r="AZ86" s="44">
        <f t="shared" si="124"/>
        <v>155</v>
      </c>
      <c r="BA86" s="48">
        <f t="shared" si="124"/>
        <v>0</v>
      </c>
      <c r="BB86" s="48">
        <f t="shared" si="124"/>
        <v>0</v>
      </c>
      <c r="BC86" s="44">
        <f t="shared" si="124"/>
        <v>0</v>
      </c>
      <c r="BD86" s="44">
        <f t="shared" si="124"/>
        <v>0</v>
      </c>
      <c r="BE86" s="49">
        <f t="shared" si="124"/>
        <v>0</v>
      </c>
      <c r="BF86" s="49">
        <f>SUBTOTAL(9,BF84:BF85)</f>
        <v>0</v>
      </c>
      <c r="BG86" s="49">
        <f t="shared" si="124"/>
        <v>0</v>
      </c>
      <c r="BH86" s="49">
        <f t="shared" si="124"/>
        <v>0</v>
      </c>
      <c r="BI86" s="49">
        <f t="shared" si="124"/>
        <v>0</v>
      </c>
      <c r="BJ86" s="49">
        <f t="shared" si="124"/>
        <v>0</v>
      </c>
      <c r="BK86" s="49">
        <f t="shared" si="124"/>
        <v>0</v>
      </c>
      <c r="BL86" s="49">
        <f t="shared" si="124"/>
        <v>0</v>
      </c>
      <c r="BM86" s="49">
        <f t="shared" si="124"/>
        <v>0</v>
      </c>
      <c r="BN86" s="49">
        <f t="shared" si="124"/>
        <v>0</v>
      </c>
      <c r="BO86" s="49">
        <f t="shared" si="124"/>
        <v>0</v>
      </c>
      <c r="BP86" s="49">
        <f t="shared" si="124"/>
        <v>0</v>
      </c>
      <c r="BQ86" s="49">
        <f t="shared" si="124"/>
        <v>0</v>
      </c>
      <c r="BR86" s="44">
        <f>SUBTOTAL(9,BR84:BR85)</f>
        <v>155</v>
      </c>
    </row>
    <row r="87" spans="1:97">
      <c r="A87" s="175">
        <f>+A84+1</f>
        <v>43278</v>
      </c>
      <c r="B87" s="15" t="s">
        <v>43</v>
      </c>
      <c r="C87" s="33">
        <v>26642.63</v>
      </c>
      <c r="D87" s="34">
        <v>19552</v>
      </c>
      <c r="E87" s="34">
        <v>19566</v>
      </c>
      <c r="F87" s="171">
        <v>43278</v>
      </c>
      <c r="G87" s="33">
        <f>IF(E87-D87&lt;0,E87-D87,0)*-1</f>
        <v>0</v>
      </c>
      <c r="H87" s="33">
        <f>IF(E87-D87&gt;0,E87-D87,0)</f>
        <v>14</v>
      </c>
      <c r="I87" s="34"/>
      <c r="J87" s="34"/>
      <c r="K87" s="34">
        <v>6595.21</v>
      </c>
      <c r="L87" s="34"/>
      <c r="M87" s="36">
        <f>(+K87)*M$5</f>
        <v>141.79701499999999</v>
      </c>
      <c r="N87" s="36">
        <f>(+K87)*N$5</f>
        <v>32.976050000000001</v>
      </c>
      <c r="O87" s="36">
        <f>+K87-M87-N87+P87</f>
        <v>6420.4369349999997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>
        <v>38.5</v>
      </c>
      <c r="AA87" s="34"/>
      <c r="AB87" s="34"/>
      <c r="AC87" s="34">
        <v>456.92</v>
      </c>
      <c r="AD87" s="38"/>
      <c r="AE87" s="38"/>
      <c r="AF87" s="34">
        <v>2116.7800000000002</v>
      </c>
      <c r="AG87" s="33">
        <f>(AF87*0.8)*0.85</f>
        <v>1439.4104000000002</v>
      </c>
      <c r="AH87" s="33">
        <f>(AF87*0.8)*0.15</f>
        <v>254.01360000000003</v>
      </c>
      <c r="AI87" s="33">
        <f>AF87*0.2</f>
        <v>423.35600000000005</v>
      </c>
      <c r="AJ87" s="34"/>
      <c r="AK87" s="33">
        <f t="shared" ref="AK87:AK88" si="125">(C87-AF87-AJ87)/1.12</f>
        <v>21898.080357142859</v>
      </c>
      <c r="AL87" s="33">
        <f t="shared" ref="AL87:AL88" si="126">AK87-SUM(Y87:AC87)</f>
        <v>21402.66035714286</v>
      </c>
      <c r="AM87" s="33">
        <f t="shared" ref="AM87:AM88" si="127">+AL87*0.12</f>
        <v>2568.3192428571433</v>
      </c>
      <c r="AN87" s="33">
        <f t="shared" ref="AN87:AN88" si="128">+AM87+AL87+AJ87</f>
        <v>23970.979600000002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>
      <c r="A88" s="176"/>
      <c r="B88" s="15" t="s">
        <v>44</v>
      </c>
      <c r="C88" s="33">
        <v>27228.89</v>
      </c>
      <c r="D88" s="34">
        <v>23037.95</v>
      </c>
      <c r="E88" s="34">
        <v>23039</v>
      </c>
      <c r="F88" s="171">
        <v>43279</v>
      </c>
      <c r="G88" s="33">
        <f>IF(E88-D88&lt;0,E88-D88,0)*-1</f>
        <v>0</v>
      </c>
      <c r="H88" s="33">
        <f>IF(E88-D88&gt;0,E88-D88,0)</f>
        <v>1.0499999999992724</v>
      </c>
      <c r="I88" s="34"/>
      <c r="J88" s="34"/>
      <c r="K88" s="34">
        <v>3848.8</v>
      </c>
      <c r="L88" s="34"/>
      <c r="M88" s="36">
        <f>(+K88)*M$5</f>
        <v>82.749200000000002</v>
      </c>
      <c r="N88" s="36">
        <f>(+K88)*N$5</f>
        <v>19.244</v>
      </c>
      <c r="O88" s="36">
        <f>+K88-M88-N88+P88</f>
        <v>3746.8067999999998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>
        <f>230+73.3</f>
        <v>303.3</v>
      </c>
      <c r="AA88" s="34"/>
      <c r="AB88" s="34"/>
      <c r="AC88" s="34">
        <v>38.840000000000003</v>
      </c>
      <c r="AD88" s="38"/>
      <c r="AE88" s="38"/>
      <c r="AF88" s="34">
        <v>1956.19</v>
      </c>
      <c r="AG88" s="33">
        <f>(AF88*0.8)*0.85</f>
        <v>1330.2092000000002</v>
      </c>
      <c r="AH88" s="33">
        <f>(AF88*0.8)*0.15</f>
        <v>234.74280000000002</v>
      </c>
      <c r="AI88" s="33">
        <f>AF88*0.2</f>
        <v>391.23800000000006</v>
      </c>
      <c r="AJ88" s="34"/>
      <c r="AK88" s="33">
        <f t="shared" si="125"/>
        <v>22564.910714285714</v>
      </c>
      <c r="AL88" s="33">
        <f t="shared" si="126"/>
        <v>22222.770714285714</v>
      </c>
      <c r="AM88" s="33">
        <f t="shared" si="127"/>
        <v>2666.7324857142858</v>
      </c>
      <c r="AN88" s="33">
        <f t="shared" si="128"/>
        <v>24889.503199999999</v>
      </c>
      <c r="AO88" s="39">
        <v>185</v>
      </c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185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185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.75" thickBot="1">
      <c r="A89" s="42"/>
      <c r="B89" s="43"/>
      <c r="C89" s="44">
        <f>SUBTOTAL(9,C87:C88)</f>
        <v>53871.520000000004</v>
      </c>
      <c r="D89" s="45">
        <f>SUBTOTAL(9,D87:D88)</f>
        <v>42589.95</v>
      </c>
      <c r="E89" s="45">
        <f>SUBTOTAL(9,E87:E88)</f>
        <v>42605</v>
      </c>
      <c r="F89" s="172"/>
      <c r="G89" s="45">
        <f t="shared" ref="G89:P89" si="129">SUBTOTAL(9,G87:G88)</f>
        <v>0</v>
      </c>
      <c r="H89" s="45">
        <f t="shared" si="129"/>
        <v>15.049999999999272</v>
      </c>
      <c r="I89" s="45">
        <f t="shared" si="129"/>
        <v>0</v>
      </c>
      <c r="J89" s="45">
        <f t="shared" si="129"/>
        <v>0</v>
      </c>
      <c r="K89" s="45"/>
      <c r="L89" s="45">
        <f t="shared" si="129"/>
        <v>0</v>
      </c>
      <c r="M89" s="46">
        <f t="shared" si="129"/>
        <v>224.54621499999999</v>
      </c>
      <c r="N89" s="46">
        <f t="shared" si="129"/>
        <v>52.220050000000001</v>
      </c>
      <c r="O89" s="46">
        <f t="shared" si="129"/>
        <v>10167.243735</v>
      </c>
      <c r="P89" s="46">
        <f t="shared" si="129"/>
        <v>0</v>
      </c>
      <c r="Q89" s="47"/>
      <c r="R89" s="45">
        <f t="shared" ref="R89:BQ89" si="130">SUBTOTAL(9,R87:R88)</f>
        <v>0</v>
      </c>
      <c r="S89" s="45">
        <f t="shared" si="130"/>
        <v>0</v>
      </c>
      <c r="T89" s="46">
        <f t="shared" si="130"/>
        <v>0</v>
      </c>
      <c r="U89" s="46">
        <f t="shared" si="130"/>
        <v>0</v>
      </c>
      <c r="V89" s="46">
        <f t="shared" si="130"/>
        <v>0</v>
      </c>
      <c r="W89" s="46">
        <f t="shared" si="130"/>
        <v>0</v>
      </c>
      <c r="X89" s="47"/>
      <c r="Y89" s="45">
        <f>SUBTOTAL(9,Y87:Y88)</f>
        <v>0</v>
      </c>
      <c r="Z89" s="45"/>
      <c r="AA89" s="45"/>
      <c r="AB89" s="45"/>
      <c r="AC89" s="45"/>
      <c r="AD89" s="48"/>
      <c r="AE89" s="48"/>
      <c r="AF89" s="45"/>
      <c r="AG89" s="44">
        <f t="shared" si="130"/>
        <v>2769.6196000000004</v>
      </c>
      <c r="AH89" s="44">
        <f t="shared" si="130"/>
        <v>488.75640000000004</v>
      </c>
      <c r="AI89" s="44">
        <f t="shared" si="130"/>
        <v>814.59400000000005</v>
      </c>
      <c r="AJ89" s="45">
        <f t="shared" si="130"/>
        <v>0</v>
      </c>
      <c r="AK89" s="44">
        <f t="shared" si="130"/>
        <v>44462.991071428572</v>
      </c>
      <c r="AL89" s="44">
        <f t="shared" si="130"/>
        <v>43625.431071428575</v>
      </c>
      <c r="AM89" s="44">
        <f t="shared" si="130"/>
        <v>5235.0517285714286</v>
      </c>
      <c r="AN89" s="44">
        <f t="shared" si="111"/>
        <v>48860.482800000005</v>
      </c>
      <c r="AO89" s="49">
        <f t="shared" si="130"/>
        <v>185</v>
      </c>
      <c r="AP89" s="49">
        <f t="shared" si="130"/>
        <v>0</v>
      </c>
      <c r="AQ89" s="49">
        <f t="shared" si="130"/>
        <v>0</v>
      </c>
      <c r="AR89" s="49">
        <f t="shared" si="130"/>
        <v>0</v>
      </c>
      <c r="AS89" s="49">
        <f t="shared" si="130"/>
        <v>0</v>
      </c>
      <c r="AT89" s="49">
        <f t="shared" si="130"/>
        <v>0</v>
      </c>
      <c r="AU89" s="49">
        <f>SUBTOTAL(9,AU87:AU88)</f>
        <v>0</v>
      </c>
      <c r="AV89" s="49">
        <f t="shared" si="130"/>
        <v>0</v>
      </c>
      <c r="AW89" s="49">
        <f t="shared" si="130"/>
        <v>0</v>
      </c>
      <c r="AX89" s="49">
        <f t="shared" si="130"/>
        <v>0</v>
      </c>
      <c r="AY89" s="49">
        <f t="shared" si="130"/>
        <v>0</v>
      </c>
      <c r="AZ89" s="44">
        <f t="shared" si="130"/>
        <v>185</v>
      </c>
      <c r="BA89" s="48">
        <f t="shared" si="130"/>
        <v>0</v>
      </c>
      <c r="BB89" s="48">
        <f t="shared" si="130"/>
        <v>0</v>
      </c>
      <c r="BC89" s="44">
        <f t="shared" si="130"/>
        <v>0</v>
      </c>
      <c r="BD89" s="44">
        <f t="shared" si="130"/>
        <v>0</v>
      </c>
      <c r="BE89" s="49">
        <f t="shared" si="130"/>
        <v>0</v>
      </c>
      <c r="BF89" s="49">
        <f>SUBTOTAL(9,BF87:BF88)</f>
        <v>0</v>
      </c>
      <c r="BG89" s="49">
        <f t="shared" si="130"/>
        <v>0</v>
      </c>
      <c r="BH89" s="49">
        <f t="shared" si="130"/>
        <v>0</v>
      </c>
      <c r="BI89" s="49">
        <f t="shared" si="130"/>
        <v>0</v>
      </c>
      <c r="BJ89" s="49">
        <f t="shared" si="130"/>
        <v>0</v>
      </c>
      <c r="BK89" s="49">
        <f t="shared" si="130"/>
        <v>0</v>
      </c>
      <c r="BL89" s="49">
        <f t="shared" si="130"/>
        <v>0</v>
      </c>
      <c r="BM89" s="49">
        <f t="shared" si="130"/>
        <v>0</v>
      </c>
      <c r="BN89" s="49">
        <f t="shared" si="130"/>
        <v>0</v>
      </c>
      <c r="BO89" s="49">
        <f t="shared" si="130"/>
        <v>0</v>
      </c>
      <c r="BP89" s="49">
        <f t="shared" si="130"/>
        <v>0</v>
      </c>
      <c r="BQ89" s="49">
        <f t="shared" si="130"/>
        <v>0</v>
      </c>
      <c r="BR89" s="44">
        <f>SUBTOTAL(9,BR87:BR88)</f>
        <v>185</v>
      </c>
    </row>
    <row r="90" spans="1:97">
      <c r="A90" s="175">
        <f>+A87+1</f>
        <v>43279</v>
      </c>
      <c r="B90" s="16" t="s">
        <v>43</v>
      </c>
      <c r="C90" s="33">
        <v>27427.33</v>
      </c>
      <c r="D90" s="34">
        <v>13954.54</v>
      </c>
      <c r="E90" s="34">
        <v>13955</v>
      </c>
      <c r="F90" s="171">
        <v>43279</v>
      </c>
      <c r="G90" s="33">
        <f>IF(E90-D90&lt;0,E90-D90,0)*-1</f>
        <v>0</v>
      </c>
      <c r="H90" s="33">
        <f>IF(E90-D90&gt;0,E90-D90,0)</f>
        <v>0.45999999999912689</v>
      </c>
      <c r="I90" s="34"/>
      <c r="J90" s="34"/>
      <c r="K90" s="34">
        <v>12936.85</v>
      </c>
      <c r="L90" s="34"/>
      <c r="M90" s="36">
        <f>(+K90)*M$5</f>
        <v>278.14227499999998</v>
      </c>
      <c r="N90" s="36">
        <f>(+K90)*N$5</f>
        <v>64.684250000000006</v>
      </c>
      <c r="O90" s="36">
        <f>+K90-M90-N90+P90</f>
        <v>12594.023475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/>
      <c r="AA90" s="34">
        <v>159.80000000000001</v>
      </c>
      <c r="AB90" s="34">
        <v>26</v>
      </c>
      <c r="AC90" s="34">
        <v>350.14</v>
      </c>
      <c r="AD90" s="38"/>
      <c r="AE90" s="38"/>
      <c r="AF90" s="34">
        <v>2151.4299999999998</v>
      </c>
      <c r="AG90" s="33">
        <f>(AF90*0.8)*0.85</f>
        <v>1462.9723999999999</v>
      </c>
      <c r="AH90" s="33">
        <f>(AF90*0.8)*0.15</f>
        <v>258.17160000000001</v>
      </c>
      <c r="AI90" s="33">
        <f>AF90*0.2</f>
        <v>430.286</v>
      </c>
      <c r="AJ90" s="34"/>
      <c r="AK90" s="33">
        <f t="shared" ref="AK90:AK91" si="131">(C90-AF90-AJ90)/1.12</f>
        <v>22567.767857142855</v>
      </c>
      <c r="AL90" s="33">
        <f t="shared" ref="AL90:AL91" si="132">AK90-SUM(Y90:AC90)</f>
        <v>22031.827857142856</v>
      </c>
      <c r="AM90" s="33">
        <f t="shared" ref="AM90:AM91" si="133">+AL90*0.12</f>
        <v>2643.8193428571426</v>
      </c>
      <c r="AN90" s="33">
        <f t="shared" si="111"/>
        <v>24675.647199999999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.75" thickBot="1">
      <c r="A91" s="176"/>
      <c r="B91" s="16" t="s">
        <v>44</v>
      </c>
      <c r="C91" s="33">
        <v>16218.51</v>
      </c>
      <c r="D91" s="34">
        <v>9253.69</v>
      </c>
      <c r="E91" s="34">
        <v>9254</v>
      </c>
      <c r="F91" s="171">
        <v>43280</v>
      </c>
      <c r="G91" s="33">
        <f>IF(E91-D91&lt;0,E91-D91,0)*-1</f>
        <v>0</v>
      </c>
      <c r="H91" s="33">
        <f>IF(E91-D91&gt;0,E91-D91,0)</f>
        <v>0.30999999999949068</v>
      </c>
      <c r="I91" s="34"/>
      <c r="J91" s="34"/>
      <c r="K91" s="34">
        <v>6856.83</v>
      </c>
      <c r="L91" s="34"/>
      <c r="M91" s="36">
        <f>(+K91)*M$5</f>
        <v>147.42184499999999</v>
      </c>
      <c r="N91" s="36">
        <f>(+K91)*N$5</f>
        <v>34.284150000000004</v>
      </c>
      <c r="O91" s="36">
        <f>+K91-M91-N91+P91</f>
        <v>6675.1240049999997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>
        <v>49.2</v>
      </c>
      <c r="AA91" s="34"/>
      <c r="AB91" s="34">
        <v>7.9</v>
      </c>
      <c r="AC91" s="34">
        <v>50.89</v>
      </c>
      <c r="AD91" s="38"/>
      <c r="AE91" s="38"/>
      <c r="AF91" s="34">
        <v>1181.05</v>
      </c>
      <c r="AG91" s="33">
        <f>(AF91*0.8)*0.85</f>
        <v>803.11400000000003</v>
      </c>
      <c r="AH91" s="33">
        <f>(AF91*0.8)*0.15</f>
        <v>141.726</v>
      </c>
      <c r="AI91" s="33">
        <f>AF91*0.2</f>
        <v>236.21</v>
      </c>
      <c r="AJ91" s="34"/>
      <c r="AK91" s="33">
        <f t="shared" si="131"/>
        <v>13426.303571428571</v>
      </c>
      <c r="AL91" s="33">
        <f t="shared" si="132"/>
        <v>13318.313571428571</v>
      </c>
      <c r="AM91" s="33">
        <f t="shared" si="133"/>
        <v>1598.1976285714284</v>
      </c>
      <c r="AN91" s="33">
        <f t="shared" si="111"/>
        <v>14916.511199999999</v>
      </c>
      <c r="AO91" s="39">
        <v>148</v>
      </c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148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148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>
      <c r="A92" s="42"/>
      <c r="B92" s="43"/>
      <c r="C92" s="44">
        <f>SUBTOTAL(9,C90:C91)</f>
        <v>43645.840000000004</v>
      </c>
      <c r="D92" s="45">
        <f>SUBTOTAL(9,D90:D91)</f>
        <v>23208.230000000003</v>
      </c>
      <c r="E92" s="45">
        <f>SUBTOTAL(9,E90:E91)</f>
        <v>23209</v>
      </c>
      <c r="F92" s="172"/>
      <c r="G92" s="45">
        <f t="shared" ref="G92:P92" si="134">SUBTOTAL(9,G90:G91)</f>
        <v>0</v>
      </c>
      <c r="H92" s="45">
        <f t="shared" si="134"/>
        <v>0.76999999999861757</v>
      </c>
      <c r="I92" s="45">
        <f t="shared" si="134"/>
        <v>0</v>
      </c>
      <c r="J92" s="45">
        <f t="shared" si="134"/>
        <v>0</v>
      </c>
      <c r="K92" s="45"/>
      <c r="L92" s="45">
        <f t="shared" si="134"/>
        <v>0</v>
      </c>
      <c r="M92" s="46">
        <f t="shared" si="134"/>
        <v>425.56412</v>
      </c>
      <c r="N92" s="46">
        <f t="shared" si="134"/>
        <v>98.968400000000003</v>
      </c>
      <c r="O92" s="46">
        <f t="shared" si="134"/>
        <v>19269.14748</v>
      </c>
      <c r="P92" s="46">
        <f t="shared" si="134"/>
        <v>0</v>
      </c>
      <c r="Q92" s="47"/>
      <c r="R92" s="45">
        <f t="shared" ref="R92:BQ92" si="135">SUBTOTAL(9,R90:R91)</f>
        <v>0</v>
      </c>
      <c r="S92" s="45">
        <f t="shared" si="135"/>
        <v>0</v>
      </c>
      <c r="T92" s="46">
        <f t="shared" si="135"/>
        <v>0</v>
      </c>
      <c r="U92" s="46">
        <f t="shared" si="135"/>
        <v>0</v>
      </c>
      <c r="V92" s="46">
        <f t="shared" si="135"/>
        <v>0</v>
      </c>
      <c r="W92" s="46">
        <f t="shared" si="135"/>
        <v>0</v>
      </c>
      <c r="X92" s="47"/>
      <c r="Y92" s="45">
        <f>SUBTOTAL(9,Y90:Y91)</f>
        <v>0</v>
      </c>
      <c r="Z92" s="45"/>
      <c r="AA92" s="45"/>
      <c r="AB92" s="45"/>
      <c r="AC92" s="45"/>
      <c r="AD92" s="48"/>
      <c r="AE92" s="48"/>
      <c r="AF92" s="45"/>
      <c r="AG92" s="44">
        <f t="shared" si="135"/>
        <v>2266.0864000000001</v>
      </c>
      <c r="AH92" s="44">
        <f t="shared" si="135"/>
        <v>399.89760000000001</v>
      </c>
      <c r="AI92" s="44">
        <f t="shared" si="135"/>
        <v>666.49599999999998</v>
      </c>
      <c r="AJ92" s="45">
        <f t="shared" si="135"/>
        <v>0</v>
      </c>
      <c r="AK92" s="44">
        <f t="shared" si="135"/>
        <v>35994.071428571428</v>
      </c>
      <c r="AL92" s="44">
        <f t="shared" si="135"/>
        <v>35350.141428571427</v>
      </c>
      <c r="AM92" s="44">
        <f t="shared" si="135"/>
        <v>4242.0169714285712</v>
      </c>
      <c r="AN92" s="44">
        <f t="shared" si="111"/>
        <v>39592.1584</v>
      </c>
      <c r="AO92" s="49">
        <f t="shared" si="135"/>
        <v>148</v>
      </c>
      <c r="AP92" s="49">
        <f t="shared" si="135"/>
        <v>0</v>
      </c>
      <c r="AQ92" s="49">
        <f t="shared" si="135"/>
        <v>0</v>
      </c>
      <c r="AR92" s="49">
        <f t="shared" si="135"/>
        <v>0</v>
      </c>
      <c r="AS92" s="49">
        <f t="shared" si="135"/>
        <v>0</v>
      </c>
      <c r="AT92" s="49">
        <f t="shared" si="135"/>
        <v>0</v>
      </c>
      <c r="AU92" s="49">
        <f>SUBTOTAL(9,AU90:AU91)</f>
        <v>0</v>
      </c>
      <c r="AV92" s="49">
        <f t="shared" si="135"/>
        <v>0</v>
      </c>
      <c r="AW92" s="49">
        <f t="shared" si="135"/>
        <v>0</v>
      </c>
      <c r="AX92" s="49">
        <f t="shared" si="135"/>
        <v>0</v>
      </c>
      <c r="AY92" s="49">
        <f t="shared" si="135"/>
        <v>0</v>
      </c>
      <c r="AZ92" s="44">
        <f t="shared" si="135"/>
        <v>148</v>
      </c>
      <c r="BA92" s="48">
        <f t="shared" si="135"/>
        <v>0</v>
      </c>
      <c r="BB92" s="48">
        <f t="shared" si="135"/>
        <v>0</v>
      </c>
      <c r="BC92" s="44">
        <f t="shared" si="135"/>
        <v>0</v>
      </c>
      <c r="BD92" s="44">
        <f t="shared" si="135"/>
        <v>0</v>
      </c>
      <c r="BE92" s="49">
        <f t="shared" si="135"/>
        <v>0</v>
      </c>
      <c r="BF92" s="49">
        <f>SUBTOTAL(9,BF90:BF91)</f>
        <v>0</v>
      </c>
      <c r="BG92" s="49">
        <f t="shared" si="135"/>
        <v>0</v>
      </c>
      <c r="BH92" s="49">
        <f t="shared" si="135"/>
        <v>0</v>
      </c>
      <c r="BI92" s="49">
        <f t="shared" si="135"/>
        <v>0</v>
      </c>
      <c r="BJ92" s="49">
        <f t="shared" si="135"/>
        <v>0</v>
      </c>
      <c r="BK92" s="49">
        <f t="shared" si="135"/>
        <v>0</v>
      </c>
      <c r="BL92" s="49">
        <f t="shared" si="135"/>
        <v>0</v>
      </c>
      <c r="BM92" s="49">
        <f t="shared" si="135"/>
        <v>0</v>
      </c>
      <c r="BN92" s="49">
        <f t="shared" si="135"/>
        <v>0</v>
      </c>
      <c r="BO92" s="49">
        <f t="shared" si="135"/>
        <v>0</v>
      </c>
      <c r="BP92" s="49">
        <f t="shared" si="135"/>
        <v>0</v>
      </c>
      <c r="BQ92" s="49">
        <f t="shared" si="135"/>
        <v>0</v>
      </c>
      <c r="BR92" s="44">
        <f>SUBTOTAL(9,BR90:BR91)</f>
        <v>148</v>
      </c>
    </row>
    <row r="93" spans="1:97">
      <c r="A93" s="175">
        <f>+A90+1</f>
        <v>43280</v>
      </c>
      <c r="B93" s="16" t="s">
        <v>43</v>
      </c>
      <c r="C93" s="33">
        <v>49531.4</v>
      </c>
      <c r="D93" s="34">
        <v>44021.96</v>
      </c>
      <c r="E93" s="34">
        <v>44022</v>
      </c>
      <c r="F93" s="171">
        <v>43280</v>
      </c>
      <c r="G93" s="33">
        <f>IF(E93-D93&lt;0,E93-D93,0)*-1</f>
        <v>0</v>
      </c>
      <c r="H93" s="33">
        <f>IF(E93-D93&gt;0,E93-D93,0)</f>
        <v>4.0000000000873115E-2</v>
      </c>
      <c r="I93" s="34"/>
      <c r="J93" s="34"/>
      <c r="K93" s="34">
        <v>5124.6000000000004</v>
      </c>
      <c r="L93" s="34"/>
      <c r="M93" s="36">
        <f>(+K93)*M$5</f>
        <v>110.1789</v>
      </c>
      <c r="N93" s="36">
        <f>(+K93)*N$5</f>
        <v>25.623000000000001</v>
      </c>
      <c r="O93" s="36">
        <f>+K93-M93-N93+P93</f>
        <v>4988.7981000000009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>
        <f>248+10.5</f>
        <v>258.5</v>
      </c>
      <c r="AA93" s="34"/>
      <c r="AB93" s="34"/>
      <c r="AC93" s="34">
        <v>126.34</v>
      </c>
      <c r="AD93" s="38"/>
      <c r="AE93" s="38"/>
      <c r="AF93" s="34">
        <v>3849.21</v>
      </c>
      <c r="AG93" s="33">
        <f>(AF93*0.8)*0.85</f>
        <v>2617.4628000000002</v>
      </c>
      <c r="AH93" s="33">
        <f>(AF93*0.8)*0.15</f>
        <v>461.90520000000004</v>
      </c>
      <c r="AI93" s="33">
        <f>AF93*0.2</f>
        <v>769.8420000000001</v>
      </c>
      <c r="AJ93" s="34"/>
      <c r="AK93" s="33">
        <f t="shared" ref="AK93" si="136">(C93-AF93-AJ93)/1.12</f>
        <v>40787.669642857138</v>
      </c>
      <c r="AL93" s="33">
        <f t="shared" ref="AL93" si="137">AK93-SUM(Y93:AC93)</f>
        <v>40402.829642857141</v>
      </c>
      <c r="AM93" s="33">
        <f t="shared" ref="AM93" si="138">+AL93*0.12</f>
        <v>4848.3395571428564</v>
      </c>
      <c r="AN93" s="33">
        <f t="shared" ref="AN93" si="139">+AM93+AL93+AJ93</f>
        <v>45251.169199999997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>
      <c r="A94" s="176"/>
      <c r="B94" s="16" t="s">
        <v>44</v>
      </c>
      <c r="C94" s="33">
        <v>29960.53</v>
      </c>
      <c r="D94" s="34">
        <v>25978.41</v>
      </c>
      <c r="E94" s="34">
        <v>25980</v>
      </c>
      <c r="F94" s="171">
        <v>43283</v>
      </c>
      <c r="G94" s="33">
        <f>IF(E94-D94&lt;0,E94-D94,0)*-1</f>
        <v>0</v>
      </c>
      <c r="H94" s="33">
        <f>IF(E94-D94&gt;0,E94-D94,0)</f>
        <v>1.5900000000001455</v>
      </c>
      <c r="I94" s="34"/>
      <c r="J94" s="34"/>
      <c r="K94" s="34">
        <v>3629.52</v>
      </c>
      <c r="L94" s="34"/>
      <c r="M94" s="36">
        <f>(+K94)*M$5</f>
        <v>78.034679999999994</v>
      </c>
      <c r="N94" s="36">
        <f>(+K94)*N$5</f>
        <v>18.147600000000001</v>
      </c>
      <c r="O94" s="36">
        <f>+K94-M94-N94+P94</f>
        <v>3533.33772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v>315.10000000000002</v>
      </c>
      <c r="AA94" s="34"/>
      <c r="AB94" s="34"/>
      <c r="AC94" s="34">
        <v>37.5</v>
      </c>
      <c r="AD94" s="38"/>
      <c r="AE94" s="38"/>
      <c r="AF94" s="34">
        <v>2273.0300000000002</v>
      </c>
      <c r="AG94" s="33">
        <f>(AF94*0.8)*0.85</f>
        <v>1545.6604000000002</v>
      </c>
      <c r="AH94" s="33">
        <f>(AF94*0.8)*0.15</f>
        <v>272.7636</v>
      </c>
      <c r="AI94" s="33">
        <f>AF94*0.2</f>
        <v>454.60600000000005</v>
      </c>
      <c r="AJ94" s="34"/>
      <c r="AK94" s="33">
        <f>(C94-AF94-AJ94)/1.12</f>
        <v>24720.982142857141</v>
      </c>
      <c r="AL94" s="33">
        <f>AK94-SUM(Y94:AC94)</f>
        <v>24368.382142857143</v>
      </c>
      <c r="AM94" s="33">
        <f>+AL94*0.12</f>
        <v>2924.205857142857</v>
      </c>
      <c r="AN94" s="33">
        <f>+AM94+AL94+AJ94</f>
        <v>27292.588</v>
      </c>
      <c r="AO94" s="39">
        <v>65</v>
      </c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65</v>
      </c>
      <c r="BA94" s="170">
        <v>150</v>
      </c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215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.75" thickBot="1">
      <c r="A95" s="42"/>
      <c r="B95" s="43"/>
      <c r="C95" s="44">
        <f>SUBTOTAL(9,C93:C94)</f>
        <v>79491.929999999993</v>
      </c>
      <c r="D95" s="162">
        <f>SUBTOTAL(9,D93:D94)</f>
        <v>70000.37</v>
      </c>
      <c r="E95" s="45">
        <f>SUBTOTAL(9,E93:E94)</f>
        <v>70002</v>
      </c>
      <c r="F95" s="172"/>
      <c r="G95" s="45">
        <f t="shared" ref="G95:P95" si="140">SUBTOTAL(9,G93:G94)</f>
        <v>0</v>
      </c>
      <c r="H95" s="45">
        <f t="shared" si="140"/>
        <v>1.6300000000010186</v>
      </c>
      <c r="I95" s="45">
        <f t="shared" si="140"/>
        <v>0</v>
      </c>
      <c r="J95" s="45">
        <f t="shared" si="140"/>
        <v>0</v>
      </c>
      <c r="K95" s="45"/>
      <c r="L95" s="45">
        <f t="shared" si="140"/>
        <v>0</v>
      </c>
      <c r="M95" s="46">
        <f t="shared" si="140"/>
        <v>188.21357999999998</v>
      </c>
      <c r="N95" s="46">
        <f t="shared" si="140"/>
        <v>43.770600000000002</v>
      </c>
      <c r="O95" s="46">
        <f t="shared" si="140"/>
        <v>8522.1358200000013</v>
      </c>
      <c r="P95" s="46">
        <f t="shared" si="140"/>
        <v>0</v>
      </c>
      <c r="Q95" s="47"/>
      <c r="R95" s="45">
        <f t="shared" ref="R95:BQ95" si="141">SUBTOTAL(9,R93:R94)</f>
        <v>0</v>
      </c>
      <c r="S95" s="45">
        <f t="shared" si="141"/>
        <v>0</v>
      </c>
      <c r="T95" s="46">
        <f t="shared" si="141"/>
        <v>0</v>
      </c>
      <c r="U95" s="46">
        <f t="shared" si="141"/>
        <v>0</v>
      </c>
      <c r="V95" s="46">
        <f t="shared" si="141"/>
        <v>0</v>
      </c>
      <c r="W95" s="46">
        <f t="shared" si="141"/>
        <v>0</v>
      </c>
      <c r="X95" s="47"/>
      <c r="Y95" s="45">
        <f>SUBTOTAL(9,Y93:Y94)</f>
        <v>0</v>
      </c>
      <c r="Z95" s="45"/>
      <c r="AA95" s="45"/>
      <c r="AB95" s="45"/>
      <c r="AC95" s="45"/>
      <c r="AD95" s="48"/>
      <c r="AE95" s="48"/>
      <c r="AF95" s="45"/>
      <c r="AG95" s="44">
        <f t="shared" si="141"/>
        <v>4163.1232</v>
      </c>
      <c r="AH95" s="44">
        <f t="shared" si="141"/>
        <v>734.66880000000003</v>
      </c>
      <c r="AI95" s="44">
        <f t="shared" si="141"/>
        <v>1224.4480000000001</v>
      </c>
      <c r="AJ95" s="45">
        <f t="shared" si="141"/>
        <v>0</v>
      </c>
      <c r="AK95" s="44">
        <f t="shared" si="141"/>
        <v>65508.651785714275</v>
      </c>
      <c r="AL95" s="44">
        <f t="shared" si="141"/>
        <v>64771.211785714288</v>
      </c>
      <c r="AM95" s="44">
        <f t="shared" si="141"/>
        <v>7772.5454142857134</v>
      </c>
      <c r="AN95" s="44">
        <f t="shared" si="111"/>
        <v>72543.757200000007</v>
      </c>
      <c r="AO95" s="49">
        <f t="shared" si="141"/>
        <v>65</v>
      </c>
      <c r="AP95" s="49">
        <f t="shared" si="141"/>
        <v>0</v>
      </c>
      <c r="AQ95" s="49">
        <f t="shared" si="141"/>
        <v>0</v>
      </c>
      <c r="AR95" s="49">
        <f t="shared" si="141"/>
        <v>0</v>
      </c>
      <c r="AS95" s="49">
        <f t="shared" si="141"/>
        <v>0</v>
      </c>
      <c r="AT95" s="49">
        <f t="shared" si="141"/>
        <v>0</v>
      </c>
      <c r="AU95" s="49">
        <f>SUBTOTAL(9,AU93:AU94)</f>
        <v>0</v>
      </c>
      <c r="AV95" s="49">
        <f t="shared" si="141"/>
        <v>0</v>
      </c>
      <c r="AW95" s="49">
        <f t="shared" si="141"/>
        <v>0</v>
      </c>
      <c r="AX95" s="49">
        <f t="shared" si="141"/>
        <v>0</v>
      </c>
      <c r="AY95" s="49">
        <f t="shared" si="141"/>
        <v>0</v>
      </c>
      <c r="AZ95" s="44">
        <f t="shared" si="141"/>
        <v>65</v>
      </c>
      <c r="BA95" s="48">
        <f t="shared" si="141"/>
        <v>150</v>
      </c>
      <c r="BB95" s="48">
        <f t="shared" si="141"/>
        <v>0</v>
      </c>
      <c r="BC95" s="44">
        <f t="shared" si="141"/>
        <v>0</v>
      </c>
      <c r="BD95" s="44">
        <f t="shared" si="141"/>
        <v>0</v>
      </c>
      <c r="BE95" s="49">
        <f t="shared" si="141"/>
        <v>0</v>
      </c>
      <c r="BF95" s="49">
        <f>SUBTOTAL(9,BF93:BF94)</f>
        <v>0</v>
      </c>
      <c r="BG95" s="49">
        <f t="shared" si="141"/>
        <v>0</v>
      </c>
      <c r="BH95" s="49">
        <f t="shared" si="141"/>
        <v>0</v>
      </c>
      <c r="BI95" s="49">
        <f t="shared" si="141"/>
        <v>0</v>
      </c>
      <c r="BJ95" s="49">
        <f t="shared" si="141"/>
        <v>0</v>
      </c>
      <c r="BK95" s="49">
        <f t="shared" si="141"/>
        <v>0</v>
      </c>
      <c r="BL95" s="49">
        <f t="shared" si="141"/>
        <v>0</v>
      </c>
      <c r="BM95" s="49">
        <f t="shared" si="141"/>
        <v>0</v>
      </c>
      <c r="BN95" s="49">
        <f t="shared" si="141"/>
        <v>0</v>
      </c>
      <c r="BO95" s="49">
        <f t="shared" si="141"/>
        <v>0</v>
      </c>
      <c r="BP95" s="49">
        <f t="shared" si="141"/>
        <v>0</v>
      </c>
      <c r="BQ95" s="49">
        <f t="shared" si="141"/>
        <v>0</v>
      </c>
      <c r="BR95" s="44">
        <f>SUBTOTAL(9,BR93:BR94)</f>
        <v>215</v>
      </c>
    </row>
    <row r="96" spans="1:97">
      <c r="A96" s="178">
        <f>+A93+1</f>
        <v>43281</v>
      </c>
      <c r="B96" s="16" t="s">
        <v>43</v>
      </c>
      <c r="C96" s="33" t="s">
        <v>155</v>
      </c>
      <c r="D96" s="34"/>
      <c r="E96" s="34"/>
      <c r="F96" s="171"/>
      <c r="G96" s="33">
        <f>IF(E96-D96&lt;0,E96-D96,0)*-1</f>
        <v>0</v>
      </c>
      <c r="H96" s="33">
        <f>IF(E96-D96&gt;0,E96-D96,0)</f>
        <v>0</v>
      </c>
      <c r="I96" s="34"/>
      <c r="J96" s="34"/>
      <c r="K96" s="34"/>
      <c r="L96" s="34"/>
      <c r="M96" s="36">
        <f>(+K96)*M$5</f>
        <v>0</v>
      </c>
      <c r="N96" s="36">
        <f>(+K96)*N$5</f>
        <v>0</v>
      </c>
      <c r="O96" s="36">
        <f>+K96-M96-N96+P96</f>
        <v>0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/>
      <c r="AA96" s="34"/>
      <c r="AB96" s="34"/>
      <c r="AC96" s="34"/>
      <c r="AD96" s="38"/>
      <c r="AE96" s="38"/>
      <c r="AF96" s="34"/>
      <c r="AG96" s="33">
        <f>(AF96*0.8)*0.85</f>
        <v>0</v>
      </c>
      <c r="AH96" s="33">
        <f>(AF96*0.8)*0.15</f>
        <v>0</v>
      </c>
      <c r="AI96" s="33">
        <f>AF96*0.2</f>
        <v>0</v>
      </c>
      <c r="AJ96" s="34"/>
      <c r="AK96" s="33">
        <v>0</v>
      </c>
      <c r="AL96" s="33">
        <f>AK96-SUM(Y96:AC96)</f>
        <v>0</v>
      </c>
      <c r="AM96" s="33">
        <f>+AL96*0.12</f>
        <v>0</v>
      </c>
      <c r="AN96" s="33">
        <f>+AM96+AL96+AJ96</f>
        <v>0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.75" thickBot="1">
      <c r="A97" s="175"/>
      <c r="B97" s="16" t="s">
        <v>44</v>
      </c>
      <c r="C97" s="33">
        <v>17888.84</v>
      </c>
      <c r="D97" s="34">
        <v>3216.36</v>
      </c>
      <c r="E97" s="34">
        <v>3220</v>
      </c>
      <c r="F97" s="171">
        <v>43283</v>
      </c>
      <c r="G97" s="33">
        <f>IF(E97-D97&lt;0,E97-D97,0)*-1</f>
        <v>0</v>
      </c>
      <c r="H97" s="33">
        <f>IF(E97-D97&gt;0,E97-D97,0)</f>
        <v>3.6399999999998727</v>
      </c>
      <c r="I97" s="34"/>
      <c r="J97" s="34"/>
      <c r="K97" s="34">
        <v>14440.66</v>
      </c>
      <c r="L97" s="34"/>
      <c r="M97" s="36">
        <f>(+K97)*M$5</f>
        <v>310.47418999999996</v>
      </c>
      <c r="N97" s="36">
        <f>(+K97)*N$5</f>
        <v>72.203299999999999</v>
      </c>
      <c r="O97" s="36">
        <f>+K97-M97-N97+P97</f>
        <v>14057.98251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v>151</v>
      </c>
      <c r="AA97" s="34"/>
      <c r="AB97" s="34">
        <v>39.5</v>
      </c>
      <c r="AC97" s="34">
        <v>34.82</v>
      </c>
      <c r="AD97" s="170"/>
      <c r="AE97" s="170"/>
      <c r="AF97" s="34">
        <v>1406.73</v>
      </c>
      <c r="AG97" s="33">
        <f>(AF97*0.8)*0.85</f>
        <v>956.57640000000004</v>
      </c>
      <c r="AH97" s="33">
        <f>(AF97*0.8)*0.15</f>
        <v>168.80760000000001</v>
      </c>
      <c r="AI97" s="33">
        <f>AF97*0.2</f>
        <v>281.346</v>
      </c>
      <c r="AJ97" s="34"/>
      <c r="AK97" s="33">
        <f>(C97-AF97-AJ97)/1.12</f>
        <v>14716.169642857141</v>
      </c>
      <c r="AL97" s="33">
        <f>AK97-SUM(Y97:AC97)</f>
        <v>14490.849642857142</v>
      </c>
      <c r="AM97" s="33">
        <f>+AL97*0.12</f>
        <v>1738.9019571428569</v>
      </c>
      <c r="AN97" s="33">
        <f>+AM97+AL97+AJ97</f>
        <v>16229.751599999998</v>
      </c>
      <c r="AO97" s="39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0</v>
      </c>
      <c r="BA97" s="38">
        <f>110+265+745</f>
        <v>1120</v>
      </c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1120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>
      <c r="A98" s="160"/>
      <c r="B98" s="43"/>
      <c r="C98" s="44">
        <f>SUBTOTAL(9,C96:C97)</f>
        <v>17888.84</v>
      </c>
      <c r="D98" s="45">
        <f>SUBTOTAL(9,D96:D97)</f>
        <v>3216.36</v>
      </c>
      <c r="E98" s="45">
        <f>SUBTOTAL(9,E96:E97)</f>
        <v>3220</v>
      </c>
      <c r="F98" s="45"/>
      <c r="G98" s="45">
        <f t="shared" ref="G98:P98" si="142">SUBTOTAL(9,G96:G97)</f>
        <v>0</v>
      </c>
      <c r="H98" s="45">
        <f t="shared" si="142"/>
        <v>3.6399999999998727</v>
      </c>
      <c r="I98" s="45">
        <f t="shared" si="142"/>
        <v>0</v>
      </c>
      <c r="J98" s="45">
        <f t="shared" si="142"/>
        <v>0</v>
      </c>
      <c r="K98" s="45"/>
      <c r="L98" s="45">
        <f t="shared" si="142"/>
        <v>0</v>
      </c>
      <c r="M98" s="46">
        <f t="shared" si="142"/>
        <v>310.47418999999996</v>
      </c>
      <c r="N98" s="46">
        <f t="shared" si="142"/>
        <v>72.203299999999999</v>
      </c>
      <c r="O98" s="46">
        <f t="shared" si="142"/>
        <v>14057.98251</v>
      </c>
      <c r="P98" s="46">
        <f t="shared" si="142"/>
        <v>0</v>
      </c>
      <c r="Q98" s="47"/>
      <c r="R98" s="45">
        <f t="shared" ref="R98:BQ98" si="143">SUBTOTAL(9,R96:R97)</f>
        <v>0</v>
      </c>
      <c r="S98" s="45">
        <f t="shared" si="143"/>
        <v>0</v>
      </c>
      <c r="T98" s="46">
        <f t="shared" si="143"/>
        <v>0</v>
      </c>
      <c r="U98" s="46">
        <f t="shared" si="143"/>
        <v>0</v>
      </c>
      <c r="V98" s="46">
        <f t="shared" si="143"/>
        <v>0</v>
      </c>
      <c r="W98" s="46">
        <f t="shared" si="143"/>
        <v>0</v>
      </c>
      <c r="X98" s="47"/>
      <c r="Y98" s="45">
        <f>SUBTOTAL(9,Y96:Y97)</f>
        <v>0</v>
      </c>
      <c r="Z98" s="45"/>
      <c r="AA98" s="45"/>
      <c r="AB98" s="45"/>
      <c r="AC98" s="45"/>
      <c r="AD98" s="48"/>
      <c r="AE98" s="48"/>
      <c r="AF98" s="45"/>
      <c r="AG98" s="44">
        <f t="shared" si="143"/>
        <v>956.57640000000004</v>
      </c>
      <c r="AH98" s="44">
        <f t="shared" si="143"/>
        <v>168.80760000000001</v>
      </c>
      <c r="AI98" s="44">
        <f t="shared" si="143"/>
        <v>281.346</v>
      </c>
      <c r="AJ98" s="45">
        <f t="shared" si="143"/>
        <v>0</v>
      </c>
      <c r="AK98" s="44">
        <f t="shared" si="143"/>
        <v>14716.169642857141</v>
      </c>
      <c r="AL98" s="44">
        <f t="shared" si="143"/>
        <v>14490.849642857142</v>
      </c>
      <c r="AM98" s="44">
        <f t="shared" si="143"/>
        <v>1738.9019571428569</v>
      </c>
      <c r="AN98" s="44">
        <f t="shared" si="111"/>
        <v>16229.751599999998</v>
      </c>
      <c r="AO98" s="49">
        <f t="shared" si="143"/>
        <v>0</v>
      </c>
      <c r="AP98" s="49">
        <f t="shared" si="143"/>
        <v>0</v>
      </c>
      <c r="AQ98" s="49">
        <f t="shared" si="143"/>
        <v>0</v>
      </c>
      <c r="AR98" s="49">
        <f t="shared" si="143"/>
        <v>0</v>
      </c>
      <c r="AS98" s="49">
        <f t="shared" si="143"/>
        <v>0</v>
      </c>
      <c r="AT98" s="49">
        <f t="shared" si="143"/>
        <v>0</v>
      </c>
      <c r="AU98" s="49">
        <f>SUBTOTAL(9,AU96:AU97)</f>
        <v>0</v>
      </c>
      <c r="AV98" s="49">
        <f t="shared" si="143"/>
        <v>0</v>
      </c>
      <c r="AW98" s="49">
        <f t="shared" si="143"/>
        <v>0</v>
      </c>
      <c r="AX98" s="49">
        <f t="shared" si="143"/>
        <v>0</v>
      </c>
      <c r="AY98" s="49">
        <f t="shared" si="143"/>
        <v>0</v>
      </c>
      <c r="AZ98" s="44">
        <f t="shared" si="143"/>
        <v>0</v>
      </c>
      <c r="BA98" s="48">
        <f t="shared" si="143"/>
        <v>1120</v>
      </c>
      <c r="BB98" s="48">
        <f t="shared" si="143"/>
        <v>0</v>
      </c>
      <c r="BC98" s="44">
        <f t="shared" si="143"/>
        <v>0</v>
      </c>
      <c r="BD98" s="44">
        <f t="shared" si="143"/>
        <v>0</v>
      </c>
      <c r="BE98" s="49">
        <f t="shared" si="143"/>
        <v>0</v>
      </c>
      <c r="BF98" s="49">
        <f>SUBTOTAL(9,BF96:BF97)</f>
        <v>0</v>
      </c>
      <c r="BG98" s="49">
        <f t="shared" si="143"/>
        <v>0</v>
      </c>
      <c r="BH98" s="49">
        <f t="shared" si="143"/>
        <v>0</v>
      </c>
      <c r="BI98" s="49">
        <f t="shared" si="143"/>
        <v>0</v>
      </c>
      <c r="BJ98" s="49">
        <f t="shared" si="143"/>
        <v>0</v>
      </c>
      <c r="BK98" s="49">
        <f t="shared" si="143"/>
        <v>0</v>
      </c>
      <c r="BL98" s="49">
        <f t="shared" si="143"/>
        <v>0</v>
      </c>
      <c r="BM98" s="49">
        <f t="shared" si="143"/>
        <v>0</v>
      </c>
      <c r="BN98" s="49">
        <f t="shared" si="143"/>
        <v>0</v>
      </c>
      <c r="BO98" s="49">
        <f t="shared" si="143"/>
        <v>0</v>
      </c>
      <c r="BP98" s="49">
        <f t="shared" si="143"/>
        <v>0</v>
      </c>
      <c r="BQ98" s="49">
        <f t="shared" si="143"/>
        <v>0</v>
      </c>
      <c r="BR98" s="161">
        <f>SUBTOTAL(9,BR96:BR97)</f>
        <v>1120</v>
      </c>
    </row>
    <row r="99" spans="1:97" ht="15" customHeight="1">
      <c r="A99" s="179"/>
      <c r="B99" s="16" t="s">
        <v>43</v>
      </c>
      <c r="C99" s="33"/>
      <c r="D99" s="34"/>
      <c r="E99" s="34"/>
      <c r="F99" s="35"/>
      <c r="G99" s="33">
        <f>IF(E99-D99&lt;0,E99-D99,0)*-1</f>
        <v>0</v>
      </c>
      <c r="H99" s="33">
        <f>IF(E99-D99&gt;0,E99-D99,0)</f>
        <v>0</v>
      </c>
      <c r="I99" s="34"/>
      <c r="J99" s="34"/>
      <c r="K99" s="34"/>
      <c r="L99" s="34"/>
      <c r="M99" s="36">
        <f>(+K99)*M$5</f>
        <v>0</v>
      </c>
      <c r="N99" s="36">
        <f>(+K99)*N$5</f>
        <v>0</v>
      </c>
      <c r="O99" s="36">
        <f>+K99-M99-N99+P99</f>
        <v>0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/>
      <c r="AA99" s="34"/>
      <c r="AB99" s="34"/>
      <c r="AC99" s="34"/>
      <c r="AD99" s="38"/>
      <c r="AE99" s="38"/>
      <c r="AF99" s="34"/>
      <c r="AG99" s="33">
        <f>(AF99*0.8)*0.85</f>
        <v>0</v>
      </c>
      <c r="AH99" s="33">
        <f>(AF99*0.8)*0.15</f>
        <v>0</v>
      </c>
      <c r="AI99" s="33">
        <f>AF99*0.2</f>
        <v>0</v>
      </c>
      <c r="AJ99" s="34"/>
      <c r="AK99" s="33">
        <f>(C99-AF99-AJ99)/1.12</f>
        <v>0</v>
      </c>
      <c r="AL99" s="33">
        <f>AK99-SUM(Y99:AC99)</f>
        <v>0</v>
      </c>
      <c r="AM99" s="33">
        <f>+AL99*0.12</f>
        <v>0</v>
      </c>
      <c r="AN99" s="33">
        <f t="shared" si="111"/>
        <v>0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9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>
      <c r="A100" s="179"/>
      <c r="B100" s="16" t="s">
        <v>44</v>
      </c>
      <c r="C100" s="33"/>
      <c r="D100" s="34"/>
      <c r="E100" s="34"/>
      <c r="F100" s="35"/>
      <c r="G100" s="33">
        <f>IF(E100-D100&lt;0,E100-D100,0)*-1</f>
        <v>0</v>
      </c>
      <c r="H100" s="33">
        <f>IF(E100-D100&gt;0,E100-D100,0)</f>
        <v>0</v>
      </c>
      <c r="I100" s="34"/>
      <c r="J100" s="34"/>
      <c r="K100" s="34"/>
      <c r="L100" s="34"/>
      <c r="M100" s="36">
        <f>(+K100)*M$5</f>
        <v>0</v>
      </c>
      <c r="N100" s="36">
        <f>(+K100)*N$5</f>
        <v>0</v>
      </c>
      <c r="O100" s="36">
        <f>+K100-M100-N100+P100</f>
        <v>0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/>
      <c r="AA100" s="34"/>
      <c r="AB100" s="34"/>
      <c r="AC100" s="34"/>
      <c r="AD100" s="38"/>
      <c r="AE100" s="38"/>
      <c r="AF100" s="34"/>
      <c r="AG100" s="33">
        <f>(AF100*0.8)*0.85</f>
        <v>0</v>
      </c>
      <c r="AH100" s="33">
        <f>(AF100*0.8)*0.15</f>
        <v>0</v>
      </c>
      <c r="AI100" s="33">
        <f>AF100*0.2</f>
        <v>0</v>
      </c>
      <c r="AJ100" s="34"/>
      <c r="AK100" s="33">
        <f>(C100-AF100-AJ100)/1.12</f>
        <v>0</v>
      </c>
      <c r="AL100" s="33">
        <f>AK100-SUM(Y100:AC100)</f>
        <v>0</v>
      </c>
      <c r="AM100" s="33">
        <f>+AL100*0.12</f>
        <v>0</v>
      </c>
      <c r="AN100" s="33">
        <f t="shared" si="111"/>
        <v>0</v>
      </c>
      <c r="AO100" s="39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0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9">
        <f>AZ100+BA100+BB100+BD100-BC100</f>
        <v>0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idden="1">
      <c r="A101" s="178">
        <f>A96+1</f>
        <v>43282</v>
      </c>
      <c r="B101" s="16" t="s">
        <v>43</v>
      </c>
      <c r="C101" s="33"/>
      <c r="D101" s="34"/>
      <c r="E101" s="34"/>
      <c r="F101" s="156"/>
      <c r="G101" s="33">
        <f>IF(E101-D101&lt;0,E101-D101,0)*-1</f>
        <v>0</v>
      </c>
      <c r="H101" s="33">
        <f>IF(E101-D101&gt;0,E101-D101,0)</f>
        <v>0</v>
      </c>
      <c r="I101" s="34"/>
      <c r="J101" s="34"/>
      <c r="K101" s="34"/>
      <c r="L101" s="34"/>
      <c r="M101" s="36">
        <f>(+K101)*M$5</f>
        <v>0</v>
      </c>
      <c r="N101" s="36">
        <f>(+K101)*N$5</f>
        <v>0</v>
      </c>
      <c r="O101" s="36">
        <f>+K101-M101-N101+P101</f>
        <v>0</v>
      </c>
      <c r="P101" s="36">
        <f>L101-(L101*(M$5+N$5))</f>
        <v>0</v>
      </c>
      <c r="Q101" s="37"/>
      <c r="R101" s="34"/>
      <c r="S101" s="34"/>
      <c r="T101" s="36">
        <f>+R101*T$5</f>
        <v>0</v>
      </c>
      <c r="U101" s="36">
        <f>+R101*U$5</f>
        <v>0</v>
      </c>
      <c r="V101" s="36">
        <f>+R101-T101-U101+W101</f>
        <v>0</v>
      </c>
      <c r="W101" s="36">
        <f>+S101-(S101*(T$5+U$5))</f>
        <v>0</v>
      </c>
      <c r="X101" s="37"/>
      <c r="Y101" s="34"/>
      <c r="Z101" s="34"/>
      <c r="AA101" s="34"/>
      <c r="AB101" s="34"/>
      <c r="AC101" s="34"/>
      <c r="AD101" s="38"/>
      <c r="AE101" s="38"/>
      <c r="AF101" s="34"/>
      <c r="AG101" s="33">
        <f>(AF101*0.8)*0.85</f>
        <v>0</v>
      </c>
      <c r="AH101" s="33">
        <f>(AF101*0.8)*0.15</f>
        <v>0</v>
      </c>
      <c r="AI101" s="33">
        <f>AF101*0.2</f>
        <v>0</v>
      </c>
      <c r="AJ101" s="34"/>
      <c r="AK101" s="33">
        <v>0</v>
      </c>
      <c r="AL101" s="33">
        <f>AK101-SUM(Y101:AC101)</f>
        <v>0</v>
      </c>
      <c r="AM101" s="33">
        <f>+AL101*0.12</f>
        <v>0</v>
      </c>
      <c r="AN101" s="33">
        <f t="shared" si="111"/>
        <v>0</v>
      </c>
      <c r="AO101" s="39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33">
        <f>SUM(AO101:AY101)</f>
        <v>0</v>
      </c>
      <c r="BA101" s="38"/>
      <c r="BB101" s="38"/>
      <c r="BC101" s="33">
        <f>SUM(BE101:BM101)*0.1+(BN101*0.5)</f>
        <v>0</v>
      </c>
      <c r="BD101" s="33">
        <f>SUM(BE101:BM101)+(BN101*0.5)</f>
        <v>0</v>
      </c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41">
        <f>AZ101+BA101+BB101+BD101-BC101</f>
        <v>0</v>
      </c>
      <c r="BT101" s="146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</row>
    <row r="102" spans="1:97" ht="15.75" hidden="1" thickBot="1">
      <c r="A102" s="175"/>
      <c r="B102" s="16" t="s">
        <v>44</v>
      </c>
      <c r="C102" s="33"/>
      <c r="D102" s="34"/>
      <c r="E102" s="34"/>
      <c r="F102" s="35"/>
      <c r="G102" s="33">
        <f>IF(E102-D102&lt;0,E102-D102,0)*-1</f>
        <v>0</v>
      </c>
      <c r="H102" s="33">
        <f>IF(E102-D102&gt;0,E102-D102,0)</f>
        <v>0</v>
      </c>
      <c r="I102" s="34"/>
      <c r="J102" s="34"/>
      <c r="K102" s="34"/>
      <c r="L102" s="34"/>
      <c r="M102" s="36">
        <f>(+K102)*M$5</f>
        <v>0</v>
      </c>
      <c r="N102" s="36">
        <f>(+K102)*N$5</f>
        <v>0</v>
      </c>
      <c r="O102" s="36">
        <f>+K102-M102-N102+P102</f>
        <v>0</v>
      </c>
      <c r="P102" s="36">
        <f>L102-(L102*(M$5+N$5))</f>
        <v>0</v>
      </c>
      <c r="Q102" s="37"/>
      <c r="R102" s="34"/>
      <c r="S102" s="34"/>
      <c r="T102" s="36">
        <f>+R102*T$5</f>
        <v>0</v>
      </c>
      <c r="U102" s="36">
        <f>+R102*U$5</f>
        <v>0</v>
      </c>
      <c r="V102" s="36">
        <f>+R102-T102-U102+W102</f>
        <v>0</v>
      </c>
      <c r="W102" s="36">
        <f>+S102-(S102*(T$5+U$5))</f>
        <v>0</v>
      </c>
      <c r="X102" s="37"/>
      <c r="Y102" s="34"/>
      <c r="Z102" s="34"/>
      <c r="AA102" s="34"/>
      <c r="AB102" s="34"/>
      <c r="AC102" s="34"/>
      <c r="AD102" s="38"/>
      <c r="AE102" s="38"/>
      <c r="AF102" s="34"/>
      <c r="AG102" s="33">
        <f>(AF102*0.8)*0.85</f>
        <v>0</v>
      </c>
      <c r="AH102" s="33">
        <f>(AF102*0.8)*0.15</f>
        <v>0</v>
      </c>
      <c r="AI102" s="33">
        <f>AF102*0.2</f>
        <v>0</v>
      </c>
      <c r="AJ102" s="34"/>
      <c r="AK102" s="33">
        <f>(C102-AF102-AJ102)/1.12</f>
        <v>0</v>
      </c>
      <c r="AL102" s="33">
        <f>AK102-SUM(Y102:AC102)</f>
        <v>0</v>
      </c>
      <c r="AM102" s="33">
        <f>+AL102*0.12</f>
        <v>0</v>
      </c>
      <c r="AN102" s="33">
        <f t="shared" si="111"/>
        <v>0</v>
      </c>
      <c r="AO102" s="39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33">
        <f>SUM(AO102:AY102)</f>
        <v>0</v>
      </c>
      <c r="BA102" s="38"/>
      <c r="BB102" s="38"/>
      <c r="BC102" s="33"/>
      <c r="BD102" s="33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41">
        <f>AZ102+BA102+BB102+BD102-BC102</f>
        <v>0</v>
      </c>
      <c r="BT102" s="146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</row>
    <row r="103" spans="1:97" ht="15.75" thickBot="1">
      <c r="A103" s="42"/>
      <c r="B103" s="43"/>
      <c r="C103" s="44">
        <f>SUBTOTAL(9,C101:C102)</f>
        <v>0</v>
      </c>
      <c r="D103" s="45">
        <f>SUBTOTAL(9,D101:D102)</f>
        <v>0</v>
      </c>
      <c r="E103" s="45">
        <f>SUBTOTAL(9,E101:E102)</f>
        <v>0</v>
      </c>
      <c r="F103" s="45"/>
      <c r="G103" s="45">
        <f>SUBTOTAL(9,G101:G102)</f>
        <v>0</v>
      </c>
      <c r="H103" s="45">
        <f>SUBTOTAL(9,H101:H102)</f>
        <v>0</v>
      </c>
      <c r="I103" s="45">
        <f>SUBTOTAL(9,I101:I102)</f>
        <v>0</v>
      </c>
      <c r="J103" s="45">
        <f>SUBTOTAL(9,J101:J102)</f>
        <v>0</v>
      </c>
      <c r="K103" s="45"/>
      <c r="L103" s="45">
        <f>SUBTOTAL(9,L101:L102)</f>
        <v>0</v>
      </c>
      <c r="M103" s="46">
        <f>SUBTOTAL(9,M101:M102)</f>
        <v>0</v>
      </c>
      <c r="N103" s="46">
        <f>SUBTOTAL(9,N101:N102)</f>
        <v>0</v>
      </c>
      <c r="O103" s="46">
        <f>SUBTOTAL(9,O101:O102)</f>
        <v>0</v>
      </c>
      <c r="P103" s="46">
        <f>SUBTOTAL(9,P101:P102)</f>
        <v>0</v>
      </c>
      <c r="Q103" s="47"/>
      <c r="R103" s="45">
        <f t="shared" ref="R103:W103" si="144">SUBTOTAL(9,R101:R102)</f>
        <v>0</v>
      </c>
      <c r="S103" s="45">
        <f t="shared" si="144"/>
        <v>0</v>
      </c>
      <c r="T103" s="46">
        <f t="shared" si="144"/>
        <v>0</v>
      </c>
      <c r="U103" s="46">
        <f t="shared" si="144"/>
        <v>0</v>
      </c>
      <c r="V103" s="46">
        <f t="shared" si="144"/>
        <v>0</v>
      </c>
      <c r="W103" s="46">
        <f t="shared" si="144"/>
        <v>0</v>
      </c>
      <c r="X103" s="47"/>
      <c r="Y103" s="45">
        <f>SUBTOTAL(9,Y101:Y102)</f>
        <v>0</v>
      </c>
      <c r="Z103" s="45">
        <v>0</v>
      </c>
      <c r="AA103" s="45"/>
      <c r="AB103" s="45"/>
      <c r="AC103" s="45"/>
      <c r="AD103" s="48"/>
      <c r="AE103" s="48"/>
      <c r="AF103" s="45"/>
      <c r="AG103" s="44">
        <f t="shared" ref="AG103:AM103" si="145">SUBTOTAL(9,AG101:AG102)</f>
        <v>0</v>
      </c>
      <c r="AH103" s="44">
        <f t="shared" si="145"/>
        <v>0</v>
      </c>
      <c r="AI103" s="44">
        <f t="shared" si="145"/>
        <v>0</v>
      </c>
      <c r="AJ103" s="45">
        <f t="shared" si="145"/>
        <v>0</v>
      </c>
      <c r="AK103" s="44">
        <f t="shared" si="145"/>
        <v>0</v>
      </c>
      <c r="AL103" s="44">
        <f t="shared" si="145"/>
        <v>0</v>
      </c>
      <c r="AM103" s="44">
        <f t="shared" si="145"/>
        <v>0</v>
      </c>
      <c r="AN103" s="44">
        <f>+AM103+AL103+AJ103</f>
        <v>0</v>
      </c>
      <c r="AO103" s="49">
        <f t="shared" ref="AO103:AZ103" si="146">SUBTOTAL(9,AO101:AO102)</f>
        <v>0</v>
      </c>
      <c r="AP103" s="49">
        <f t="shared" si="146"/>
        <v>0</v>
      </c>
      <c r="AQ103" s="49">
        <f t="shared" si="146"/>
        <v>0</v>
      </c>
      <c r="AR103" s="49">
        <f t="shared" si="146"/>
        <v>0</v>
      </c>
      <c r="AS103" s="49">
        <f t="shared" si="146"/>
        <v>0</v>
      </c>
      <c r="AT103" s="49">
        <f t="shared" si="146"/>
        <v>0</v>
      </c>
      <c r="AU103" s="49">
        <f t="shared" si="146"/>
        <v>0</v>
      </c>
      <c r="AV103" s="49">
        <f t="shared" si="146"/>
        <v>0</v>
      </c>
      <c r="AW103" s="49">
        <f t="shared" si="146"/>
        <v>0</v>
      </c>
      <c r="AX103" s="49">
        <f t="shared" si="146"/>
        <v>0</v>
      </c>
      <c r="AY103" s="49">
        <f t="shared" si="146"/>
        <v>0</v>
      </c>
      <c r="AZ103" s="44">
        <f t="shared" si="146"/>
        <v>0</v>
      </c>
      <c r="BA103" s="48"/>
      <c r="BB103" s="48">
        <f t="shared" ref="BB103:BR103" si="147">SUBTOTAL(9,BB101:BB102)</f>
        <v>0</v>
      </c>
      <c r="BC103" s="44">
        <f t="shared" si="147"/>
        <v>0</v>
      </c>
      <c r="BD103" s="44">
        <f t="shared" si="147"/>
        <v>0</v>
      </c>
      <c r="BE103" s="49">
        <f t="shared" si="147"/>
        <v>0</v>
      </c>
      <c r="BF103" s="49">
        <f t="shared" si="147"/>
        <v>0</v>
      </c>
      <c r="BG103" s="49">
        <f t="shared" si="147"/>
        <v>0</v>
      </c>
      <c r="BH103" s="49">
        <f t="shared" si="147"/>
        <v>0</v>
      </c>
      <c r="BI103" s="49">
        <f t="shared" si="147"/>
        <v>0</v>
      </c>
      <c r="BJ103" s="49">
        <f t="shared" si="147"/>
        <v>0</v>
      </c>
      <c r="BK103" s="49">
        <f t="shared" si="147"/>
        <v>0</v>
      </c>
      <c r="BL103" s="49">
        <f t="shared" si="147"/>
        <v>0</v>
      </c>
      <c r="BM103" s="49">
        <f t="shared" si="147"/>
        <v>0</v>
      </c>
      <c r="BN103" s="49">
        <f t="shared" si="147"/>
        <v>0</v>
      </c>
      <c r="BO103" s="49">
        <f t="shared" si="147"/>
        <v>0</v>
      </c>
      <c r="BP103" s="49">
        <f t="shared" si="147"/>
        <v>0</v>
      </c>
      <c r="BQ103" s="49">
        <f t="shared" si="147"/>
        <v>0</v>
      </c>
      <c r="BR103" s="44">
        <f t="shared" si="147"/>
        <v>0</v>
      </c>
    </row>
    <row r="104" spans="1:97" ht="15.75" thickBot="1">
      <c r="A104" s="157"/>
      <c r="B104" s="4"/>
      <c r="C104" s="50"/>
      <c r="D104" s="51"/>
      <c r="E104" s="51"/>
      <c r="F104" s="52"/>
      <c r="G104" s="50"/>
      <c r="H104" s="50"/>
      <c r="I104" s="51"/>
      <c r="J104" s="51"/>
      <c r="K104" s="51"/>
      <c r="L104" s="51"/>
      <c r="M104" s="53"/>
      <c r="N104" s="53"/>
      <c r="O104" s="53"/>
      <c r="P104" s="53"/>
      <c r="Q104" s="52"/>
      <c r="R104" s="51"/>
      <c r="S104" s="51"/>
      <c r="T104" s="53"/>
      <c r="U104" s="53"/>
      <c r="V104" s="53"/>
      <c r="W104" s="53"/>
      <c r="X104" s="52"/>
      <c r="Y104" s="51"/>
      <c r="Z104" s="51"/>
      <c r="AA104" s="51"/>
      <c r="AB104" s="51"/>
      <c r="AC104" s="51"/>
      <c r="AD104" s="54"/>
      <c r="AE104" s="54"/>
      <c r="AF104" s="51"/>
      <c r="AG104" s="50"/>
      <c r="AH104" s="50"/>
      <c r="AI104" s="50"/>
      <c r="AJ104" s="51"/>
      <c r="AK104" s="50"/>
      <c r="AL104" s="50"/>
      <c r="AM104" s="50"/>
      <c r="AN104" s="50"/>
      <c r="AO104" s="158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0"/>
      <c r="BA104" s="54"/>
      <c r="BB104" s="54"/>
      <c r="BC104" s="50"/>
      <c r="BD104" s="50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0"/>
    </row>
    <row r="105" spans="1:97" ht="16.5" thickTop="1" thickBot="1">
      <c r="A105" s="56" t="s">
        <v>45</v>
      </c>
      <c r="B105" s="56"/>
      <c r="C105" s="57">
        <f>SUBTOTAL(9,C8:C104)</f>
        <v>842864.81</v>
      </c>
      <c r="D105" s="57">
        <f>SUBTOTAL(9,D8:D104)</f>
        <v>579305.91999999993</v>
      </c>
      <c r="E105" s="57">
        <f>SUBTOTAL(9,E8:E104)</f>
        <v>579366</v>
      </c>
      <c r="F105" s="57"/>
      <c r="G105" s="57">
        <f t="shared" ref="G105:O105" si="148">SUBTOTAL(9,G8:G104)</f>
        <v>2.7399999999979627</v>
      </c>
      <c r="H105" s="57">
        <f t="shared" si="148"/>
        <v>63.069999999996071</v>
      </c>
      <c r="I105" s="57">
        <f t="shared" si="148"/>
        <v>700</v>
      </c>
      <c r="J105" s="57">
        <f t="shared" si="148"/>
        <v>0</v>
      </c>
      <c r="K105" s="57">
        <f t="shared" si="148"/>
        <v>251975.05999999994</v>
      </c>
      <c r="L105" s="57">
        <f t="shared" si="148"/>
        <v>0</v>
      </c>
      <c r="M105" s="57">
        <f t="shared" si="148"/>
        <v>5531.0826899999993</v>
      </c>
      <c r="N105" s="57">
        <f t="shared" si="148"/>
        <v>1286.2982999999999</v>
      </c>
      <c r="O105" s="57">
        <f t="shared" si="148"/>
        <v>250442.27901000006</v>
      </c>
      <c r="P105" s="57"/>
      <c r="Q105" s="57"/>
      <c r="R105" s="57">
        <f t="shared" ref="R105:W105" si="149">SUBTOTAL(9,R8:R104)</f>
        <v>0</v>
      </c>
      <c r="S105" s="57">
        <f t="shared" si="149"/>
        <v>0</v>
      </c>
      <c r="T105" s="57">
        <f t="shared" si="149"/>
        <v>0</v>
      </c>
      <c r="U105" s="57">
        <f t="shared" si="149"/>
        <v>0</v>
      </c>
      <c r="V105" s="57">
        <f t="shared" si="149"/>
        <v>0</v>
      </c>
      <c r="W105" s="57">
        <f t="shared" si="149"/>
        <v>0</v>
      </c>
      <c r="X105" s="57"/>
      <c r="Y105" s="57">
        <f>SUBTOTAL(9,Y8:Y104)</f>
        <v>0</v>
      </c>
      <c r="Z105" s="57">
        <f>SUBTOTAL(9,Z8:Z104)</f>
        <v>3902.85</v>
      </c>
      <c r="AA105" s="57">
        <f>SUBTOTAL(9,AA8:AA104)</f>
        <v>284.8</v>
      </c>
      <c r="AB105" s="57">
        <f>SUBTOTAL(9,AB8:AB104)</f>
        <v>122.9</v>
      </c>
      <c r="AC105" s="57">
        <f>SUBTOTAL(9,AC8:AC104)</f>
        <v>6025.6800000000012</v>
      </c>
      <c r="AD105" s="57"/>
      <c r="AE105" s="57">
        <f t="shared" ref="AE105:AK105" si="150">SUBTOTAL(9,AE8:AE104)</f>
        <v>79</v>
      </c>
      <c r="AF105" s="57">
        <f t="shared" si="150"/>
        <v>63710.330000000016</v>
      </c>
      <c r="AG105" s="57">
        <f t="shared" si="150"/>
        <v>43323.024400000002</v>
      </c>
      <c r="AH105" s="57">
        <f t="shared" si="150"/>
        <v>7645.2395999999999</v>
      </c>
      <c r="AI105" s="57">
        <f t="shared" si="150"/>
        <v>12742.065999999999</v>
      </c>
      <c r="AJ105" s="57">
        <f t="shared" si="150"/>
        <v>0</v>
      </c>
      <c r="AK105" s="57">
        <f t="shared" si="150"/>
        <v>695673.64285714261</v>
      </c>
      <c r="AL105" s="57">
        <f>+AL11+AL14+AL17+AL20+AL23+AL26+AL29+AL32+AL35+AL38+AL41+AL44+AL47+AL50+AL53+AL56+AL59+AL62+AL65+AL68+AL71+AL74+AL77+AL80+AL83+AL86+AL89+AL92+AL95+AL98+AL102</f>
        <v>650218.49178571405</v>
      </c>
      <c r="AM105" s="57">
        <f>+AM11+AM14+AM17+AM20+AM23+AM26+AM29+AM32+AM35+AM38+AM41+AM44+AM47+AM50+AM53+AM56+AM59+AM62+AM65+AM68+AM71+AM74+AM77+AM80+AM83+AM86+AM89+AM92+AM95+AM98+AM102</f>
        <v>78026.2190142857</v>
      </c>
      <c r="AN105" s="57">
        <f>+AN11+AN14+AN17+AN20+AN23+AN26+AN29+AN32+AN35+AN38+AN41+AN44+AN47+AN50+AN53+AN56+AN59+AN62+AN65+AN68+AN71+AN74+AN77+AN80+AN83+AN86+AN89+AN92+AN95+AN98+AN102</f>
        <v>728244.71079999988</v>
      </c>
      <c r="AO105" s="120">
        <f t="shared" ref="AO105:BR105" si="151">SUBTOTAL(9,AO8:AO104)</f>
        <v>3508</v>
      </c>
      <c r="AP105" s="120">
        <f t="shared" si="151"/>
        <v>2001</v>
      </c>
      <c r="AQ105" s="120">
        <f t="shared" si="151"/>
        <v>1795</v>
      </c>
      <c r="AR105" s="120">
        <f t="shared" si="151"/>
        <v>1795</v>
      </c>
      <c r="AS105" s="120">
        <f t="shared" si="151"/>
        <v>0</v>
      </c>
      <c r="AT105" s="120">
        <f t="shared" si="151"/>
        <v>0</v>
      </c>
      <c r="AU105" s="135">
        <f t="shared" si="151"/>
        <v>0</v>
      </c>
      <c r="AV105" s="135">
        <f t="shared" si="151"/>
        <v>0</v>
      </c>
      <c r="AW105" s="135">
        <f t="shared" si="151"/>
        <v>0</v>
      </c>
      <c r="AX105" s="135">
        <f t="shared" si="151"/>
        <v>0</v>
      </c>
      <c r="AY105" s="57">
        <f t="shared" si="151"/>
        <v>0</v>
      </c>
      <c r="AZ105" s="57">
        <f t="shared" si="151"/>
        <v>8699</v>
      </c>
      <c r="BA105" s="135">
        <f t="shared" si="151"/>
        <v>2753</v>
      </c>
      <c r="BB105" s="57">
        <f t="shared" si="151"/>
        <v>0</v>
      </c>
      <c r="BC105" s="57">
        <f t="shared" si="151"/>
        <v>0</v>
      </c>
      <c r="BD105" s="57">
        <f t="shared" si="151"/>
        <v>0</v>
      </c>
      <c r="BE105" s="134">
        <f t="shared" si="151"/>
        <v>0</v>
      </c>
      <c r="BF105" s="134">
        <f t="shared" si="151"/>
        <v>0</v>
      </c>
      <c r="BG105" s="57">
        <f t="shared" si="151"/>
        <v>830</v>
      </c>
      <c r="BH105" s="57">
        <f t="shared" si="151"/>
        <v>0</v>
      </c>
      <c r="BI105" s="57">
        <f t="shared" si="151"/>
        <v>530</v>
      </c>
      <c r="BJ105" s="57">
        <f t="shared" si="151"/>
        <v>0</v>
      </c>
      <c r="BK105" s="57">
        <f t="shared" si="151"/>
        <v>0</v>
      </c>
      <c r="BL105" s="57">
        <f t="shared" si="151"/>
        <v>0</v>
      </c>
      <c r="BM105" s="57">
        <f t="shared" si="151"/>
        <v>705</v>
      </c>
      <c r="BN105" s="57">
        <f t="shared" si="151"/>
        <v>0</v>
      </c>
      <c r="BO105" s="57">
        <f t="shared" si="151"/>
        <v>0</v>
      </c>
      <c r="BP105" s="57">
        <f t="shared" si="151"/>
        <v>0</v>
      </c>
      <c r="BQ105" s="57">
        <f t="shared" si="151"/>
        <v>0</v>
      </c>
      <c r="BR105" s="57">
        <f t="shared" si="151"/>
        <v>11452</v>
      </c>
    </row>
    <row r="106" spans="1:97" ht="15.75" thickTop="1">
      <c r="A106" s="4" t="s">
        <v>100</v>
      </c>
      <c r="B106" s="4"/>
      <c r="C106" s="13">
        <f>+AZ105</f>
        <v>8699</v>
      </c>
      <c r="D106" s="147"/>
      <c r="G106" s="147"/>
      <c r="AK106" s="154" t="s">
        <v>138</v>
      </c>
      <c r="AL106" s="154"/>
      <c r="AM106" s="148"/>
      <c r="AN106" s="149"/>
      <c r="AO106" s="150">
        <v>3500</v>
      </c>
      <c r="AP106" s="150">
        <v>1800</v>
      </c>
      <c r="AQ106" s="150">
        <v>1800</v>
      </c>
      <c r="AR106" s="150">
        <v>1800</v>
      </c>
      <c r="AS106" s="150">
        <v>1000</v>
      </c>
      <c r="AT106" s="150">
        <v>1500</v>
      </c>
      <c r="AW106" s="150">
        <v>1500</v>
      </c>
      <c r="AX106" s="150">
        <v>1500</v>
      </c>
      <c r="BD106" s="137" t="s">
        <v>68</v>
      </c>
      <c r="BE106" s="151">
        <f t="shared" ref="BE106:BK106" si="152">+BE11+BE14+BE17+BE20+BE23+BE26+BE29+BE32+BE35+BE38+BE41+BE44+BE47+BE50+BE53</f>
        <v>0</v>
      </c>
      <c r="BF106" s="151">
        <f t="shared" si="152"/>
        <v>0</v>
      </c>
      <c r="BG106" s="151">
        <f t="shared" si="152"/>
        <v>185</v>
      </c>
      <c r="BH106" s="151">
        <f t="shared" si="152"/>
        <v>0</v>
      </c>
      <c r="BI106" s="151">
        <f t="shared" si="152"/>
        <v>530</v>
      </c>
      <c r="BJ106" s="151">
        <f t="shared" si="152"/>
        <v>0</v>
      </c>
      <c r="BK106" s="151">
        <f t="shared" si="152"/>
        <v>0</v>
      </c>
      <c r="BL106" s="138"/>
      <c r="BM106" s="138"/>
      <c r="BN106" s="138"/>
      <c r="BO106" s="138"/>
      <c r="BP106" s="138"/>
      <c r="BQ106" s="138"/>
      <c r="BR106" s="147">
        <f>SUM(BE106:BQ106)</f>
        <v>715</v>
      </c>
    </row>
    <row r="107" spans="1:97">
      <c r="A107" s="4" t="s">
        <v>101</v>
      </c>
      <c r="B107" s="4"/>
      <c r="C107" s="13">
        <f>+BD105</f>
        <v>0</v>
      </c>
      <c r="D107" s="147"/>
      <c r="E107" s="147"/>
      <c r="AK107" s="154" t="s">
        <v>139</v>
      </c>
      <c r="AL107" s="154">
        <f>+AL105</f>
        <v>650218.49178571405</v>
      </c>
      <c r="AM107" s="147"/>
      <c r="AN107" s="149"/>
      <c r="AO107" s="150">
        <f t="shared" ref="AO107:AX107" si="153">+AO106-AO105</f>
        <v>-8</v>
      </c>
      <c r="AP107" s="150">
        <f t="shared" si="153"/>
        <v>-201</v>
      </c>
      <c r="AQ107" s="150">
        <f t="shared" si="153"/>
        <v>5</v>
      </c>
      <c r="AR107" s="150">
        <f t="shared" si="153"/>
        <v>5</v>
      </c>
      <c r="AS107" s="150">
        <f t="shared" si="153"/>
        <v>1000</v>
      </c>
      <c r="AT107" s="150">
        <f t="shared" si="153"/>
        <v>1500</v>
      </c>
      <c r="AU107" s="150">
        <f>+AU106-AU105</f>
        <v>0</v>
      </c>
      <c r="AV107" s="150">
        <f t="shared" si="153"/>
        <v>0</v>
      </c>
      <c r="AW107" s="150">
        <f t="shared" si="153"/>
        <v>1500</v>
      </c>
      <c r="AX107" s="150">
        <f t="shared" si="153"/>
        <v>1500</v>
      </c>
      <c r="BD107" s="138" t="s">
        <v>104</v>
      </c>
      <c r="BE107" s="151">
        <f>BE106*0.9</f>
        <v>0</v>
      </c>
      <c r="BF107" s="151">
        <f>BF106*0.9</f>
        <v>0</v>
      </c>
      <c r="BG107" s="151">
        <f>BG106*0.9</f>
        <v>166.5</v>
      </c>
      <c r="BH107" s="151">
        <f t="shared" ref="BH107:BQ107" si="154">BH106*0.9</f>
        <v>0</v>
      </c>
      <c r="BI107" s="151">
        <f t="shared" si="154"/>
        <v>477</v>
      </c>
      <c r="BJ107" s="151">
        <f t="shared" si="154"/>
        <v>0</v>
      </c>
      <c r="BK107" s="151">
        <f t="shared" si="154"/>
        <v>0</v>
      </c>
      <c r="BL107" s="151">
        <f t="shared" si="154"/>
        <v>0</v>
      </c>
      <c r="BM107" s="151">
        <f t="shared" si="154"/>
        <v>0</v>
      </c>
      <c r="BN107" s="151">
        <f t="shared" si="154"/>
        <v>0</v>
      </c>
      <c r="BO107" s="151">
        <f t="shared" si="154"/>
        <v>0</v>
      </c>
      <c r="BP107" s="151">
        <f t="shared" si="154"/>
        <v>0</v>
      </c>
      <c r="BQ107" s="151">
        <f t="shared" si="154"/>
        <v>0</v>
      </c>
      <c r="BR107" s="147">
        <f>SUM(BE107:BQ107)</f>
        <v>643.5</v>
      </c>
    </row>
    <row r="108" spans="1:97">
      <c r="A108" s="4" t="s">
        <v>102</v>
      </c>
      <c r="B108" s="4"/>
      <c r="C108" s="13">
        <f>+BC105</f>
        <v>0</v>
      </c>
      <c r="D108" s="147"/>
      <c r="AK108" s="154" t="s">
        <v>140</v>
      </c>
      <c r="AL108" s="154">
        <f>+AJ105</f>
        <v>0</v>
      </c>
      <c r="AM108" s="148"/>
      <c r="AN108" s="149"/>
      <c r="AO108" s="150">
        <f t="shared" ref="AO108:AX108" si="155">+AO107*0.9</f>
        <v>-7.2</v>
      </c>
      <c r="AP108" s="150">
        <f t="shared" si="155"/>
        <v>-180.9</v>
      </c>
      <c r="AQ108" s="150">
        <f t="shared" si="155"/>
        <v>4.5</v>
      </c>
      <c r="AR108" s="150">
        <f t="shared" si="155"/>
        <v>4.5</v>
      </c>
      <c r="AS108" s="150">
        <f t="shared" si="155"/>
        <v>900</v>
      </c>
      <c r="AT108" s="150">
        <f t="shared" si="155"/>
        <v>1350</v>
      </c>
      <c r="AU108" s="150">
        <f>+AU107*0.9</f>
        <v>0</v>
      </c>
      <c r="AV108" s="150">
        <f t="shared" si="155"/>
        <v>0</v>
      </c>
      <c r="AW108" s="150">
        <f t="shared" si="155"/>
        <v>1350</v>
      </c>
      <c r="AX108" s="150">
        <f t="shared" si="155"/>
        <v>1350</v>
      </c>
      <c r="BD108" s="139"/>
      <c r="BE108" s="13"/>
      <c r="BF108" s="13"/>
      <c r="BG108" s="13"/>
      <c r="BH108" s="13"/>
      <c r="BI108" s="13"/>
      <c r="BJ108" s="13"/>
      <c r="BK108" s="4"/>
      <c r="BL108" s="4"/>
      <c r="BM108" s="4"/>
      <c r="BN108" s="4"/>
      <c r="BO108" s="4"/>
      <c r="BP108" s="4"/>
      <c r="BQ108" s="4"/>
    </row>
    <row r="109" spans="1:97" ht="15.75" thickBot="1">
      <c r="A109" s="4" t="s">
        <v>34</v>
      </c>
      <c r="B109" s="4"/>
      <c r="C109" s="152">
        <f>+BA105</f>
        <v>2753</v>
      </c>
      <c r="D109" s="147"/>
      <c r="E109" s="147"/>
      <c r="AK109" s="154" t="s">
        <v>141</v>
      </c>
      <c r="AL109" s="154">
        <f>+AL107+AL108</f>
        <v>650218.49178571405</v>
      </c>
      <c r="AM109" s="148"/>
      <c r="AN109" s="149"/>
      <c r="BD109" s="140" t="s">
        <v>69</v>
      </c>
      <c r="BE109" s="153">
        <f t="shared" ref="BE109:BQ109" si="156">BE56+BE59+BE62+BE65+BE68+BE71+BE74+BE77+BE80+BE83+BE86+BE89+BE92+BE95+BE98+BE102</f>
        <v>0</v>
      </c>
      <c r="BF109" s="153">
        <f t="shared" si="156"/>
        <v>0</v>
      </c>
      <c r="BG109" s="153">
        <f t="shared" si="156"/>
        <v>495</v>
      </c>
      <c r="BH109" s="153" t="e">
        <f t="shared" si="156"/>
        <v>#VALUE!</v>
      </c>
      <c r="BI109" s="153">
        <f t="shared" si="156"/>
        <v>0</v>
      </c>
      <c r="BJ109" s="153">
        <f t="shared" si="156"/>
        <v>0</v>
      </c>
      <c r="BK109" s="153">
        <f t="shared" si="156"/>
        <v>0</v>
      </c>
      <c r="BL109" s="153">
        <f t="shared" si="156"/>
        <v>0</v>
      </c>
      <c r="BM109" s="153">
        <f t="shared" si="156"/>
        <v>155</v>
      </c>
      <c r="BN109" s="153">
        <f t="shared" si="156"/>
        <v>0</v>
      </c>
      <c r="BO109" s="153">
        <f t="shared" si="156"/>
        <v>0</v>
      </c>
      <c r="BP109" s="153">
        <f t="shared" si="156"/>
        <v>0</v>
      </c>
      <c r="BQ109" s="153">
        <f t="shared" si="156"/>
        <v>0</v>
      </c>
      <c r="BR109" s="147" t="e">
        <f>SUM(BE109:BQ109)</f>
        <v>#VALUE!</v>
      </c>
    </row>
    <row r="110" spans="1:97" ht="15.75" thickTop="1">
      <c r="C110" s="3">
        <f>+C109+C108+C107+C106+C105</f>
        <v>854316.81</v>
      </c>
      <c r="D110" s="147"/>
      <c r="AM110" s="148"/>
      <c r="AN110" s="149"/>
      <c r="BD110" s="141" t="s">
        <v>104</v>
      </c>
      <c r="BE110" s="153">
        <f>+BE109*0.9</f>
        <v>0</v>
      </c>
      <c r="BF110" s="153">
        <f>+BF109*0.9</f>
        <v>0</v>
      </c>
      <c r="BG110" s="153">
        <f t="shared" ref="BG110:BQ110" si="157">+BG109*0.9</f>
        <v>445.5</v>
      </c>
      <c r="BH110" s="153" t="e">
        <f t="shared" si="157"/>
        <v>#VALUE!</v>
      </c>
      <c r="BI110" s="153">
        <f t="shared" si="157"/>
        <v>0</v>
      </c>
      <c r="BJ110" s="153">
        <f t="shared" si="157"/>
        <v>0</v>
      </c>
      <c r="BK110" s="153">
        <f t="shared" si="157"/>
        <v>0</v>
      </c>
      <c r="BL110" s="153">
        <f t="shared" si="157"/>
        <v>0</v>
      </c>
      <c r="BM110" s="153">
        <f t="shared" si="157"/>
        <v>139.5</v>
      </c>
      <c r="BN110" s="153">
        <f t="shared" si="157"/>
        <v>0</v>
      </c>
      <c r="BO110" s="153">
        <f t="shared" si="157"/>
        <v>0</v>
      </c>
      <c r="BP110" s="153">
        <f t="shared" si="157"/>
        <v>0</v>
      </c>
      <c r="BQ110" s="153">
        <f t="shared" si="157"/>
        <v>0</v>
      </c>
      <c r="BR110" s="147" t="e">
        <f>SUM(BE110:BQ110)</f>
        <v>#VALUE!</v>
      </c>
    </row>
    <row r="111" spans="1:97">
      <c r="D111" s="147"/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>
      <c r="A112" s="1" t="s">
        <v>117</v>
      </c>
      <c r="C112" s="147"/>
      <c r="D112" s="147"/>
      <c r="AM112" s="148"/>
      <c r="AN112" s="149"/>
      <c r="BD112" s="142"/>
      <c r="BE112" s="147"/>
      <c r="BF112" s="147"/>
      <c r="BG112" s="147"/>
      <c r="BH112" s="147"/>
      <c r="BI112" s="147"/>
      <c r="BJ112" s="147"/>
    </row>
    <row r="113" spans="1:69">
      <c r="D113" s="177" t="s">
        <v>108</v>
      </c>
      <c r="E113" s="177"/>
      <c r="F113" s="177"/>
      <c r="K113" s="4"/>
      <c r="X113" s="4"/>
      <c r="Y113" s="4"/>
      <c r="Z113" s="4"/>
      <c r="AA113" s="4"/>
      <c r="AB113" s="4"/>
      <c r="AC113" s="4"/>
      <c r="AD113" s="4"/>
      <c r="AE113" s="4"/>
      <c r="AF113" s="4"/>
      <c r="AJ113" s="4"/>
      <c r="AM113" s="147"/>
      <c r="AN113" s="147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139"/>
      <c r="BE113" s="53"/>
      <c r="BF113" s="53"/>
      <c r="BG113" s="53"/>
      <c r="BH113" s="53"/>
      <c r="BI113" s="53"/>
      <c r="BJ113" s="53"/>
      <c r="BK113" s="4"/>
      <c r="BL113" s="4"/>
      <c r="BM113" s="4"/>
      <c r="BN113" s="4"/>
      <c r="BO113" s="4"/>
      <c r="BP113" s="4"/>
      <c r="BQ113" s="4"/>
    </row>
    <row r="114" spans="1:69">
      <c r="A114" s="136" t="s">
        <v>96</v>
      </c>
      <c r="C114" s="150"/>
      <c r="D114" s="147" t="s">
        <v>109</v>
      </c>
      <c r="E114" s="136" t="s">
        <v>110</v>
      </c>
      <c r="F114" s="136" t="s">
        <v>2</v>
      </c>
      <c r="AI114" s="147"/>
      <c r="BD114" s="142" t="s">
        <v>99</v>
      </c>
      <c r="BE114" s="150"/>
      <c r="BF114" s="150"/>
      <c r="BG114" s="150"/>
      <c r="BH114" s="150"/>
    </row>
    <row r="115" spans="1:69">
      <c r="A115" s="136" t="s">
        <v>144</v>
      </c>
      <c r="C115" s="150"/>
      <c r="D115" s="147"/>
      <c r="E115" s="147"/>
      <c r="AM115" s="147"/>
      <c r="AN115" s="147"/>
      <c r="BE115" s="150"/>
      <c r="BF115" s="150"/>
      <c r="BG115" s="150"/>
      <c r="BH115" s="150"/>
    </row>
    <row r="116" spans="1:69">
      <c r="D116" s="147"/>
      <c r="E116" s="147"/>
      <c r="AM116" s="147"/>
      <c r="AN116" s="147"/>
      <c r="BE116" s="150"/>
      <c r="BF116" s="150"/>
      <c r="BG116" s="150"/>
      <c r="BH116" s="150"/>
    </row>
    <row r="117" spans="1:69">
      <c r="D117" s="147"/>
      <c r="E117" s="147"/>
      <c r="BD117" s="142"/>
      <c r="BE117" s="150"/>
      <c r="BF117" s="150"/>
      <c r="BG117" s="150"/>
      <c r="BH117" s="150"/>
    </row>
    <row r="118" spans="1:69">
      <c r="D118" s="147"/>
      <c r="E118" s="147"/>
      <c r="BE118" s="150"/>
      <c r="BF118" s="150"/>
      <c r="BG118" s="150"/>
      <c r="BH118" s="150"/>
    </row>
    <row r="119" spans="1:69">
      <c r="D119" s="147"/>
      <c r="E119" s="147"/>
      <c r="BE119" s="150"/>
      <c r="BF119" s="150"/>
      <c r="BG119" s="150"/>
      <c r="BH119" s="150"/>
    </row>
    <row r="120" spans="1:69">
      <c r="D120" s="147"/>
      <c r="E120" s="147"/>
      <c r="BE120" s="150"/>
      <c r="BF120" s="150"/>
      <c r="BG120" s="150"/>
      <c r="BH120" s="150"/>
    </row>
    <row r="121" spans="1:69">
      <c r="C121" s="147"/>
      <c r="D121" s="147"/>
      <c r="E121" s="147"/>
      <c r="F121" s="147"/>
      <c r="G121" s="147"/>
    </row>
    <row r="122" spans="1:69">
      <c r="C122" s="147"/>
      <c r="D122" s="147"/>
      <c r="E122" s="147"/>
      <c r="F122" s="147"/>
      <c r="G122" s="147"/>
    </row>
    <row r="123" spans="1:69">
      <c r="C123" s="147"/>
      <c r="D123" s="147"/>
      <c r="E123" s="147"/>
      <c r="F123" s="147"/>
      <c r="G123" s="147"/>
    </row>
    <row r="124" spans="1:69">
      <c r="C124" s="147"/>
      <c r="D124" s="147"/>
      <c r="E124" s="147"/>
      <c r="F124" s="147"/>
      <c r="G124" s="147"/>
    </row>
    <row r="125" spans="1:69">
      <c r="C125" s="147"/>
      <c r="D125" s="147"/>
      <c r="E125" s="147"/>
      <c r="F125" s="147"/>
      <c r="G125" s="147"/>
    </row>
    <row r="126" spans="1:69">
      <c r="C126" s="147"/>
      <c r="D126" s="147"/>
      <c r="E126" s="147"/>
      <c r="F126" s="147"/>
      <c r="G126" s="147"/>
    </row>
    <row r="127" spans="1:69">
      <c r="C127" s="147"/>
      <c r="D127" s="147"/>
      <c r="E127" s="147"/>
      <c r="F127" s="147"/>
      <c r="G127" s="147"/>
    </row>
    <row r="128" spans="1:69">
      <c r="C128" s="147"/>
      <c r="D128" s="147"/>
      <c r="E128" s="147"/>
      <c r="F128" s="147"/>
      <c r="G128" s="147"/>
    </row>
    <row r="129" spans="3:7">
      <c r="C129" s="147"/>
      <c r="D129" s="147"/>
      <c r="E129" s="147"/>
      <c r="F129" s="147"/>
      <c r="G129" s="147"/>
    </row>
    <row r="130" spans="3:7">
      <c r="C130" s="147"/>
      <c r="D130" s="147"/>
      <c r="E130" s="147"/>
      <c r="F130" s="147"/>
      <c r="G130" s="147"/>
    </row>
    <row r="131" spans="3:7">
      <c r="C131" s="147"/>
      <c r="D131" s="147"/>
      <c r="E131" s="147"/>
      <c r="F131" s="147"/>
      <c r="G131" s="147"/>
    </row>
    <row r="132" spans="3:7">
      <c r="C132" s="147"/>
      <c r="D132" s="147"/>
      <c r="E132" s="147"/>
      <c r="F132" s="147"/>
      <c r="G132" s="147"/>
    </row>
    <row r="133" spans="3:7">
      <c r="C133" s="147"/>
      <c r="D133" s="147"/>
      <c r="E133" s="147"/>
      <c r="F133" s="147"/>
      <c r="G133" s="147"/>
    </row>
    <row r="134" spans="3:7">
      <c r="C134" s="147"/>
      <c r="D134" s="147"/>
      <c r="E134" s="147"/>
      <c r="F134" s="147"/>
      <c r="G134" s="147"/>
    </row>
    <row r="135" spans="3:7">
      <c r="C135" s="147"/>
      <c r="D135" s="147"/>
      <c r="E135" s="147"/>
      <c r="F135" s="147"/>
      <c r="G135" s="147"/>
    </row>
    <row r="136" spans="3:7">
      <c r="C136" s="147"/>
      <c r="D136" s="147"/>
      <c r="E136" s="147"/>
      <c r="F136" s="147"/>
      <c r="G136" s="147"/>
    </row>
    <row r="137" spans="3:7">
      <c r="C137" s="147"/>
      <c r="D137" s="147"/>
      <c r="E137" s="147"/>
      <c r="F137" s="147"/>
      <c r="G137" s="147"/>
    </row>
    <row r="138" spans="3:7">
      <c r="C138" s="147"/>
      <c r="D138" s="147"/>
      <c r="E138" s="147"/>
      <c r="F138" s="147"/>
      <c r="G138" s="147"/>
    </row>
    <row r="139" spans="3:7">
      <c r="C139" s="147"/>
      <c r="D139" s="147"/>
      <c r="E139" s="147"/>
      <c r="F139" s="147"/>
      <c r="G139" s="147"/>
    </row>
    <row r="140" spans="3:7">
      <c r="C140" s="147"/>
      <c r="D140" s="147"/>
      <c r="E140" s="147"/>
      <c r="F140" s="147"/>
      <c r="G140" s="147"/>
    </row>
    <row r="141" spans="3:7">
      <c r="C141" s="147"/>
      <c r="D141" s="147"/>
      <c r="E141" s="147"/>
      <c r="F141" s="147"/>
      <c r="G141" s="147"/>
    </row>
    <row r="142" spans="3:7">
      <c r="C142" s="147"/>
      <c r="D142" s="147"/>
      <c r="E142" s="147"/>
      <c r="F142" s="147"/>
      <c r="G142" s="147"/>
    </row>
    <row r="143" spans="3:7">
      <c r="C143" s="147"/>
      <c r="D143" s="147"/>
      <c r="E143" s="147"/>
      <c r="F143" s="147"/>
      <c r="G143" s="147"/>
    </row>
    <row r="144" spans="3:7">
      <c r="C144" s="147"/>
      <c r="D144" s="147"/>
      <c r="E144" s="147"/>
      <c r="F144" s="147"/>
      <c r="G144" s="147"/>
    </row>
    <row r="145" spans="3:7">
      <c r="C145" s="147"/>
      <c r="D145" s="147"/>
      <c r="E145" s="147"/>
      <c r="F145" s="147"/>
      <c r="G145" s="147"/>
    </row>
    <row r="146" spans="3:7">
      <c r="C146" s="147"/>
      <c r="D146" s="147"/>
      <c r="E146" s="147"/>
      <c r="F146" s="147"/>
      <c r="G146" s="147"/>
    </row>
    <row r="147" spans="3:7">
      <c r="C147" s="147"/>
      <c r="D147" s="147"/>
      <c r="E147" s="147"/>
      <c r="F147" s="147"/>
      <c r="G147" s="147"/>
    </row>
    <row r="148" spans="3:7">
      <c r="C148" s="147"/>
      <c r="D148" s="147"/>
      <c r="E148" s="147"/>
      <c r="F148" s="147"/>
      <c r="G148" s="147"/>
    </row>
    <row r="149" spans="3:7">
      <c r="C149" s="147"/>
      <c r="D149" s="147"/>
      <c r="E149" s="147"/>
      <c r="F149" s="147"/>
      <c r="G149" s="147"/>
    </row>
    <row r="150" spans="3:7">
      <c r="C150" s="147"/>
      <c r="D150" s="147"/>
      <c r="E150" s="147"/>
      <c r="F150" s="147"/>
      <c r="G150" s="147"/>
    </row>
    <row r="151" spans="3:7">
      <c r="C151" s="147"/>
      <c r="D151" s="147"/>
      <c r="E151" s="147"/>
      <c r="F151" s="147"/>
      <c r="G151" s="147"/>
    </row>
    <row r="152" spans="3:7">
      <c r="C152" s="147"/>
      <c r="D152" s="147"/>
      <c r="E152" s="147"/>
      <c r="F152" s="147"/>
      <c r="G152" s="147"/>
    </row>
    <row r="153" spans="3:7">
      <c r="C153" s="147"/>
      <c r="D153" s="147"/>
      <c r="E153" s="147"/>
      <c r="F153" s="147"/>
      <c r="G153" s="147"/>
    </row>
    <row r="154" spans="3:7">
      <c r="C154" s="147"/>
      <c r="D154" s="147"/>
      <c r="E154" s="147"/>
      <c r="F154" s="147"/>
      <c r="G154" s="147"/>
    </row>
    <row r="155" spans="3:7">
      <c r="C155" s="147"/>
      <c r="D155" s="147"/>
      <c r="E155" s="147"/>
      <c r="F155" s="147"/>
      <c r="G155" s="147"/>
    </row>
    <row r="156" spans="3:7">
      <c r="C156" s="147"/>
      <c r="D156" s="147"/>
      <c r="E156" s="147"/>
      <c r="F156" s="147"/>
      <c r="G156" s="147"/>
    </row>
    <row r="157" spans="3:7">
      <c r="C157" s="147"/>
      <c r="D157" s="147"/>
      <c r="E157" s="147"/>
      <c r="F157" s="147"/>
      <c r="G157" s="147"/>
    </row>
    <row r="158" spans="3:7">
      <c r="C158" s="147"/>
      <c r="D158" s="147"/>
      <c r="E158" s="147"/>
      <c r="F158" s="147"/>
      <c r="G158" s="147"/>
    </row>
    <row r="159" spans="3:7">
      <c r="C159" s="147"/>
      <c r="D159" s="147"/>
      <c r="E159" s="147"/>
      <c r="F159" s="147"/>
      <c r="G159" s="147"/>
    </row>
    <row r="160" spans="3:7">
      <c r="C160" s="147"/>
      <c r="D160" s="147"/>
      <c r="E160" s="147"/>
      <c r="F160" s="147"/>
      <c r="G160" s="147"/>
    </row>
    <row r="161" spans="3:7">
      <c r="C161" s="147"/>
      <c r="D161" s="147"/>
      <c r="E161" s="147"/>
      <c r="F161" s="147"/>
      <c r="G161" s="147"/>
    </row>
    <row r="162" spans="3:7">
      <c r="C162" s="147"/>
      <c r="D162" s="147"/>
      <c r="E162" s="147"/>
      <c r="F162" s="147"/>
      <c r="G162" s="147"/>
    </row>
    <row r="163" spans="3:7">
      <c r="C163" s="147"/>
      <c r="D163" s="147"/>
      <c r="E163" s="147"/>
      <c r="F163" s="147"/>
      <c r="G163" s="147"/>
    </row>
    <row r="164" spans="3:7">
      <c r="C164" s="147"/>
      <c r="D164" s="147"/>
      <c r="E164" s="147"/>
      <c r="F164" s="147"/>
      <c r="G164" s="147"/>
    </row>
    <row r="165" spans="3:7">
      <c r="C165" s="147"/>
      <c r="D165" s="147"/>
      <c r="E165" s="147"/>
      <c r="F165" s="147"/>
      <c r="G165" s="147"/>
    </row>
    <row r="166" spans="3:7">
      <c r="C166" s="147"/>
      <c r="D166" s="147"/>
      <c r="E166" s="147"/>
      <c r="F166" s="147"/>
      <c r="G166" s="147"/>
    </row>
    <row r="167" spans="3:7">
      <c r="C167" s="147"/>
      <c r="D167" s="147"/>
      <c r="E167" s="147"/>
      <c r="F167" s="147"/>
      <c r="G167" s="147"/>
    </row>
    <row r="168" spans="3:7">
      <c r="C168" s="147"/>
      <c r="D168" s="147"/>
      <c r="E168" s="147"/>
      <c r="F168" s="147"/>
      <c r="G168" s="147"/>
    </row>
    <row r="169" spans="3:7">
      <c r="C169" s="147"/>
      <c r="D169" s="147"/>
      <c r="E169" s="147"/>
      <c r="F169" s="147"/>
      <c r="G169" s="147"/>
    </row>
    <row r="170" spans="3:7">
      <c r="C170" s="147"/>
      <c r="D170" s="147"/>
      <c r="E170" s="147"/>
      <c r="F170" s="147"/>
      <c r="G170" s="147"/>
    </row>
    <row r="171" spans="3:7">
      <c r="C171" s="147"/>
      <c r="D171" s="147"/>
      <c r="E171" s="147"/>
      <c r="F171" s="147"/>
      <c r="G171" s="147"/>
    </row>
    <row r="172" spans="3:7">
      <c r="C172" s="147"/>
      <c r="D172" s="147"/>
      <c r="E172" s="147"/>
      <c r="F172" s="147"/>
      <c r="G172" s="147"/>
    </row>
    <row r="173" spans="3:7">
      <c r="C173" s="147"/>
      <c r="D173" s="147"/>
      <c r="E173" s="147"/>
      <c r="F173" s="147"/>
      <c r="G173" s="147"/>
    </row>
    <row r="174" spans="3:7">
      <c r="C174" s="147"/>
      <c r="D174" s="147"/>
      <c r="E174" s="147"/>
      <c r="F174" s="147"/>
      <c r="G174" s="147"/>
    </row>
    <row r="175" spans="3:7">
      <c r="C175" s="147"/>
      <c r="D175" s="147"/>
      <c r="E175" s="147"/>
      <c r="F175" s="147"/>
      <c r="G175" s="147"/>
    </row>
    <row r="176" spans="3:7">
      <c r="C176" s="147"/>
      <c r="D176" s="147"/>
      <c r="E176" s="147"/>
      <c r="F176" s="147"/>
      <c r="G176" s="147"/>
    </row>
    <row r="177" spans="3:7">
      <c r="C177" s="147"/>
      <c r="D177" s="147"/>
      <c r="E177" s="147"/>
      <c r="F177" s="147"/>
      <c r="G177" s="147"/>
    </row>
    <row r="178" spans="3:7">
      <c r="C178" s="147"/>
      <c r="D178" s="147"/>
      <c r="E178" s="147"/>
      <c r="F178" s="147"/>
      <c r="G178" s="147"/>
    </row>
    <row r="179" spans="3:7">
      <c r="C179" s="147"/>
      <c r="D179" s="147"/>
      <c r="E179" s="147"/>
      <c r="F179" s="147"/>
      <c r="G179" s="147"/>
    </row>
    <row r="180" spans="3:7">
      <c r="C180" s="147"/>
      <c r="D180" s="147"/>
      <c r="E180" s="147"/>
      <c r="F180" s="147"/>
      <c r="G180" s="147"/>
    </row>
    <row r="181" spans="3:7">
      <c r="C181" s="147"/>
      <c r="D181" s="147"/>
      <c r="E181" s="147"/>
      <c r="F181" s="147"/>
      <c r="G181" s="147"/>
    </row>
    <row r="182" spans="3:7">
      <c r="C182" s="147"/>
      <c r="D182" s="147"/>
      <c r="E182" s="147"/>
      <c r="F182" s="147"/>
      <c r="G182" s="147"/>
    </row>
    <row r="183" spans="3:7">
      <c r="C183" s="147"/>
      <c r="D183" s="147"/>
      <c r="E183" s="147"/>
      <c r="F183" s="147"/>
      <c r="G183" s="147"/>
    </row>
    <row r="184" spans="3:7">
      <c r="C184" s="147"/>
      <c r="D184" s="147"/>
      <c r="E184" s="147"/>
      <c r="F184" s="147"/>
      <c r="G184" s="147"/>
    </row>
    <row r="185" spans="3:7">
      <c r="C185" s="147"/>
      <c r="D185" s="147"/>
      <c r="E185" s="147"/>
      <c r="F185" s="147"/>
      <c r="G185" s="147"/>
    </row>
    <row r="186" spans="3:7">
      <c r="C186" s="147"/>
      <c r="D186" s="147"/>
      <c r="E186" s="147"/>
      <c r="F186" s="147"/>
      <c r="G186" s="147"/>
    </row>
    <row r="187" spans="3:7">
      <c r="C187" s="147"/>
      <c r="D187" s="147"/>
      <c r="E187" s="147"/>
      <c r="F187" s="147"/>
      <c r="G187" s="147"/>
    </row>
    <row r="188" spans="3:7">
      <c r="C188" s="147"/>
      <c r="D188" s="147"/>
      <c r="E188" s="147"/>
      <c r="F188" s="147"/>
      <c r="G188" s="147"/>
    </row>
    <row r="189" spans="3:7">
      <c r="C189" s="147"/>
      <c r="D189" s="147"/>
      <c r="E189" s="147"/>
      <c r="F189" s="147"/>
      <c r="G189" s="147"/>
    </row>
    <row r="190" spans="3:7">
      <c r="C190" s="147"/>
      <c r="D190" s="147"/>
      <c r="E190" s="147"/>
      <c r="F190" s="147"/>
      <c r="G190" s="147"/>
    </row>
  </sheetData>
  <mergeCells count="92"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  <mergeCell ref="K6:K7"/>
    <mergeCell ref="L6:L7"/>
    <mergeCell ref="F6:F7"/>
    <mergeCell ref="M6:M7"/>
    <mergeCell ref="I6:I7"/>
    <mergeCell ref="G6:G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A39:A40"/>
    <mergeCell ref="A30:A31"/>
    <mergeCell ref="A33:A34"/>
    <mergeCell ref="A42:A43"/>
    <mergeCell ref="A45:A46"/>
    <mergeCell ref="A36:A37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D113:F113"/>
    <mergeCell ref="A96:A97"/>
    <mergeCell ref="A99:A100"/>
    <mergeCell ref="A87:A88"/>
    <mergeCell ref="A101:A102"/>
    <mergeCell ref="A93:A94"/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3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Z31" sqref="Z31"/>
    </sheetView>
  </sheetViews>
  <sheetFormatPr defaultRowHeight="1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>
      <c r="B2" s="60">
        <f>'SALES SUMMARY'!A9</f>
        <v>43252</v>
      </c>
      <c r="C2" s="60">
        <f>'SALES SUMMARY'!A12</f>
        <v>43253</v>
      </c>
      <c r="D2" s="60">
        <f>'SALES SUMMARY'!A15</f>
        <v>43254</v>
      </c>
      <c r="E2" s="60">
        <f>'SALES SUMMARY'!A18</f>
        <v>43255</v>
      </c>
      <c r="F2" s="60">
        <f>'SALES SUMMARY'!A21</f>
        <v>43256</v>
      </c>
      <c r="G2" s="60">
        <f>'SALES SUMMARY'!A24</f>
        <v>43257</v>
      </c>
      <c r="H2" s="60">
        <f>'SALES SUMMARY'!A27</f>
        <v>43258</v>
      </c>
      <c r="I2" s="60">
        <f>'SALES SUMMARY'!A30</f>
        <v>43259</v>
      </c>
      <c r="J2" s="60">
        <f>'SALES SUMMARY'!A33</f>
        <v>43260</v>
      </c>
      <c r="K2" s="60">
        <f>'SALES SUMMARY'!A36</f>
        <v>43261</v>
      </c>
      <c r="L2" s="60">
        <f>'SALES SUMMARY'!A39</f>
        <v>43262</v>
      </c>
      <c r="M2" s="60">
        <f>'SALES SUMMARY'!A42</f>
        <v>43263</v>
      </c>
      <c r="N2" s="60">
        <f>'SALES SUMMARY'!A45</f>
        <v>43264</v>
      </c>
      <c r="O2" s="60">
        <f>'SALES SUMMARY'!A48</f>
        <v>43265</v>
      </c>
      <c r="P2" s="60">
        <f>'SALES SUMMARY'!A51</f>
        <v>43266</v>
      </c>
      <c r="Q2" s="60">
        <f>'SALES SUMMARY'!A54</f>
        <v>43267</v>
      </c>
      <c r="R2" s="60">
        <f>'SALES SUMMARY'!A57</f>
        <v>43268</v>
      </c>
      <c r="S2" s="60">
        <f>'SALES SUMMARY'!A60</f>
        <v>43269</v>
      </c>
      <c r="T2" s="60">
        <f>'SALES SUMMARY'!A63</f>
        <v>43270</v>
      </c>
      <c r="U2" s="60">
        <f>'SALES SUMMARY'!A66</f>
        <v>43271</v>
      </c>
      <c r="V2" s="60">
        <f>'SALES SUMMARY'!A69</f>
        <v>43272</v>
      </c>
      <c r="W2" s="60">
        <f>'SALES SUMMARY'!A72</f>
        <v>43273</v>
      </c>
      <c r="X2" s="60">
        <f>'SALES SUMMARY'!A75</f>
        <v>43274</v>
      </c>
      <c r="Y2" s="60">
        <f>'SALES SUMMARY'!A78</f>
        <v>43275</v>
      </c>
      <c r="Z2" s="60">
        <f>'SALES SUMMARY'!A81</f>
        <v>43276</v>
      </c>
      <c r="AA2" s="60">
        <f>'SALES SUMMARY'!A84</f>
        <v>43277</v>
      </c>
      <c r="AB2" s="60">
        <f>'SALES SUMMARY'!A87</f>
        <v>43278</v>
      </c>
      <c r="AC2" s="60">
        <f>'SALES SUMMARY'!A90</f>
        <v>43279</v>
      </c>
      <c r="AD2" s="60">
        <f>'SALES SUMMARY'!A93</f>
        <v>43280</v>
      </c>
      <c r="AE2" s="60">
        <f>'SALES SUMMARY'!A96</f>
        <v>43281</v>
      </c>
      <c r="AF2" s="60">
        <f>'SALES SUMMARY'!A99</f>
        <v>0</v>
      </c>
    </row>
    <row r="3" spans="1:32">
      <c r="A3" s="59" t="s">
        <v>6</v>
      </c>
      <c r="B3" s="61">
        <f>'SALES SUMMARY'!E11</f>
        <v>39700</v>
      </c>
      <c r="C3" s="61">
        <f>'SALES SUMMARY'!E14</f>
        <v>6271</v>
      </c>
      <c r="D3" s="61">
        <f>'SALES SUMMARY'!E17</f>
        <v>0</v>
      </c>
      <c r="E3" s="61">
        <f>'SALES SUMMARY'!E20</f>
        <v>18627</v>
      </c>
      <c r="F3" s="61">
        <f>'SALES SUMMARY'!E23</f>
        <v>23215</v>
      </c>
      <c r="G3" s="61">
        <f>'SALES SUMMARY'!E26</f>
        <v>25710</v>
      </c>
      <c r="H3" s="61">
        <f>'SALES SUMMARY'!E29</f>
        <v>24373.5</v>
      </c>
      <c r="I3" s="61">
        <f>'SALES SUMMARY'!E32</f>
        <v>29808</v>
      </c>
      <c r="J3" s="61">
        <f>'SALES SUMMARY'!E35</f>
        <v>4615</v>
      </c>
      <c r="K3" s="61">
        <f>'SALES SUMMARY'!E38</f>
        <v>0</v>
      </c>
      <c r="L3" s="61">
        <f>'SALES SUMMARY'!E41</f>
        <v>10115</v>
      </c>
      <c r="M3" s="61">
        <f>'SALES SUMMARY'!E44</f>
        <v>0</v>
      </c>
      <c r="N3" s="61">
        <f>'SALES SUMMARY'!E47</f>
        <v>20725</v>
      </c>
      <c r="O3" s="61">
        <f>'SALES SUMMARY'!E50</f>
        <v>43216.5</v>
      </c>
      <c r="P3" s="61">
        <f>'SALES SUMMARY'!E53</f>
        <v>0</v>
      </c>
      <c r="Q3" s="61">
        <f>'SALES SUMMARY'!E56</f>
        <v>7461</v>
      </c>
      <c r="R3" s="61">
        <f>'SALES SUMMARY'!E59</f>
        <v>0</v>
      </c>
      <c r="S3" s="61">
        <f>'SALES SUMMARY'!E62</f>
        <v>20531</v>
      </c>
      <c r="T3" s="61">
        <f>'SALES SUMMARY'!E65</f>
        <v>13739</v>
      </c>
      <c r="U3" s="61">
        <f>'SALES SUMMARY'!E68</f>
        <v>33070</v>
      </c>
      <c r="V3" s="61">
        <f>'SALES SUMMARY'!E71</f>
        <v>22132</v>
      </c>
      <c r="W3" s="61">
        <f>'SALES SUMMARY'!E74</f>
        <v>37362</v>
      </c>
      <c r="X3" s="61">
        <f>'SALES SUMMARY'!E77</f>
        <v>8602</v>
      </c>
      <c r="Y3" s="61">
        <f>'SALES SUMMARY'!E80</f>
        <v>0</v>
      </c>
      <c r="Z3" s="61">
        <f>'SALES SUMMARY'!E83</f>
        <v>23928</v>
      </c>
      <c r="AA3" s="61">
        <f>'SALES SUMMARY'!E86</f>
        <v>27129</v>
      </c>
      <c r="AB3" s="61">
        <f>'SALES SUMMARY'!E89</f>
        <v>42605</v>
      </c>
      <c r="AC3" s="61">
        <f>'SALES SUMMARY'!E92</f>
        <v>23209</v>
      </c>
      <c r="AD3" s="61">
        <f>'SALES SUMMARY'!E95</f>
        <v>70002</v>
      </c>
      <c r="AE3" s="61">
        <f>'SALES SUMMARY'!E98</f>
        <v>3220</v>
      </c>
      <c r="AF3" s="61">
        <f>'SALES SUMMARY'!E102</f>
        <v>0</v>
      </c>
    </row>
    <row r="4" spans="1:32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>
      <c r="A5" s="59" t="s">
        <v>8</v>
      </c>
      <c r="B5" s="61">
        <f>-'SALES SUMMARY'!G11</f>
        <v>0</v>
      </c>
      <c r="C5" s="61">
        <f>-'SALES SUMMARY'!G14</f>
        <v>-2.9999999999745341E-2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-0.94999999999890861</v>
      </c>
      <c r="H5" s="61">
        <f>-'SALES SUMMARY'!G29</f>
        <v>-0.3500000000003638</v>
      </c>
      <c r="I5" s="61">
        <f>-'SALES SUMMARY'!G32</f>
        <v>0</v>
      </c>
      <c r="J5" s="61">
        <f>-'SALES SUMMARY'!G35</f>
        <v>-0.47999999999956344</v>
      </c>
      <c r="K5" s="61">
        <f>-'SALES SUMMARY'!G38</f>
        <v>0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-0.27999999999974534</v>
      </c>
      <c r="U5" s="61">
        <f>-'SALES SUMMARY'!G68</f>
        <v>0</v>
      </c>
      <c r="V5" s="61">
        <f>-'SALES SUMMARY'!G71</f>
        <v>0</v>
      </c>
      <c r="W5" s="61">
        <f>-'SALES SUMMARY'!G74</f>
        <v>-0.40999999999985448</v>
      </c>
      <c r="X5" s="61">
        <f>-'SALES SUMMARY'!G77</f>
        <v>0</v>
      </c>
      <c r="Y5" s="61">
        <f>-'SALES SUMMARY'!G80</f>
        <v>0</v>
      </c>
      <c r="Z5" s="61">
        <f>-'SALES SUMMARY'!G83</f>
        <v>-0.23999999999978172</v>
      </c>
      <c r="AA5" s="61">
        <f>-'SALES SUMMARY'!G86</f>
        <v>0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SUMMARY'!G102</f>
        <v>0</v>
      </c>
    </row>
    <row r="6" spans="1:32">
      <c r="A6" s="59" t="s">
        <v>9</v>
      </c>
      <c r="B6" s="61">
        <f>'SALES SUMMARY'!H11</f>
        <v>7.0300000000024738</v>
      </c>
      <c r="C6" s="61">
        <f>'SALES SUMMARY'!H14</f>
        <v>0</v>
      </c>
      <c r="D6" s="61">
        <f>'SALES SUMMARY'!H17</f>
        <v>0</v>
      </c>
      <c r="E6" s="61">
        <f>'SALES SUMMARY'!H20</f>
        <v>2.2399999999997817</v>
      </c>
      <c r="F6" s="61">
        <f>'SALES SUMMARY'!H23</f>
        <v>3.4399999999995998</v>
      </c>
      <c r="G6" s="61">
        <f>'SALES SUMMARY'!H26</f>
        <v>0</v>
      </c>
      <c r="H6" s="61">
        <f>'SALES SUMMARY'!H29</f>
        <v>0.32999999999992724</v>
      </c>
      <c r="I6" s="61">
        <f>'SALES SUMMARY'!H32</f>
        <v>2.5</v>
      </c>
      <c r="J6" s="61">
        <f>'SALES SUMMARY'!H35</f>
        <v>0</v>
      </c>
      <c r="K6" s="61">
        <f>'SALES SUMMARY'!H38</f>
        <v>0</v>
      </c>
      <c r="L6" s="61">
        <f>'SALES SUMMARY'!H41</f>
        <v>2.3899999999998727</v>
      </c>
      <c r="M6" s="61">
        <f>'SALES SUMMARY'!H44</f>
        <v>0</v>
      </c>
      <c r="N6" s="61">
        <f>'SALES SUMMARY'!H47</f>
        <v>3.7700000000004366</v>
      </c>
      <c r="O6" s="61">
        <f>'SALES SUMMARY'!H50</f>
        <v>4.0799999999981083</v>
      </c>
      <c r="P6" s="61">
        <f>'SALES SUMMARY'!H53</f>
        <v>0</v>
      </c>
      <c r="Q6" s="61">
        <f>'SALES SUMMARY'!H56</f>
        <v>0.72999999999956344</v>
      </c>
      <c r="R6" s="61">
        <f>'SALES SUMMARY'!H59</f>
        <v>0</v>
      </c>
      <c r="S6" s="61">
        <f>'SALES SUMMARY'!H62</f>
        <v>4.5799999999999272</v>
      </c>
      <c r="T6" s="61">
        <f>'SALES SUMMARY'!H65</f>
        <v>0.8999999999996362</v>
      </c>
      <c r="U6" s="61">
        <f>'SALES SUMMARY'!H68</f>
        <v>2.8899999999994179</v>
      </c>
      <c r="V6" s="61">
        <f>'SALES SUMMARY'!H71</f>
        <v>2.6599999999998545</v>
      </c>
      <c r="W6" s="61">
        <f>'SALES SUMMARY'!H74</f>
        <v>1.3499999999985448</v>
      </c>
      <c r="X6" s="61">
        <f>'SALES SUMMARY'!H77</f>
        <v>1.3099999999994907</v>
      </c>
      <c r="Y6" s="61">
        <f>'SALES SUMMARY'!H80</f>
        <v>0</v>
      </c>
      <c r="Z6" s="61">
        <f>'SALES SUMMARY'!H83</f>
        <v>0.37000000000080036</v>
      </c>
      <c r="AA6" s="61">
        <f>'SALES SUMMARY'!H86</f>
        <v>1.4099999999998545</v>
      </c>
      <c r="AB6" s="61">
        <f>'SALES SUMMARY'!H89</f>
        <v>15.049999999999272</v>
      </c>
      <c r="AC6" s="61">
        <f>'SALES SUMMARY'!H92</f>
        <v>0.76999999999861757</v>
      </c>
      <c r="AD6" s="61">
        <f>'SALES SUMMARY'!H95</f>
        <v>1.6300000000010186</v>
      </c>
      <c r="AE6" s="61">
        <f>'SALES SUMMARY'!H98</f>
        <v>3.6399999999998727</v>
      </c>
      <c r="AF6" s="61">
        <f>'SALES SUMMARY'!H102</f>
        <v>0</v>
      </c>
    </row>
    <row r="7" spans="1:32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-200</v>
      </c>
      <c r="K7" s="61">
        <f>-'SALES SUMMARY'!I38</f>
        <v>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-500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0</v>
      </c>
      <c r="AD7" s="61">
        <f>-'SALES SUMMARY'!I95</f>
        <v>0</v>
      </c>
      <c r="AE7" s="61">
        <f>-'SALES SUMMARY'!I98</f>
        <v>0</v>
      </c>
      <c r="AF7" s="61">
        <f>-'SALES SUMMARY'!I102</f>
        <v>0</v>
      </c>
    </row>
    <row r="8" spans="1:32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SUMMARY'!J102</f>
        <v>0</v>
      </c>
    </row>
    <row r="9" spans="1:32">
      <c r="A9" s="59" t="s">
        <v>14</v>
      </c>
      <c r="B9" s="61">
        <f>-'SALES SUMMARY'!M11</f>
        <v>-256.44898999999998</v>
      </c>
      <c r="C9" s="61">
        <f>-'SALES SUMMARY'!M14</f>
        <v>0</v>
      </c>
      <c r="D9" s="61">
        <f>-'SALES SUMMARY'!M17</f>
        <v>0</v>
      </c>
      <c r="E9" s="61">
        <f>-'SALES SUMMARY'!M20</f>
        <v>-113.6189</v>
      </c>
      <c r="F9" s="61">
        <f>-'SALES SUMMARY'!M23</f>
        <v>-417.11590999999999</v>
      </c>
      <c r="G9" s="61">
        <f>-'SALES SUMMARY'!M26</f>
        <v>-148.964685</v>
      </c>
      <c r="H9" s="61">
        <f>-'SALES SUMMARY'!M29</f>
        <v>-273.21984999999995</v>
      </c>
      <c r="I9" s="61">
        <f>-'SALES SUMMARY'!M32</f>
        <v>-1045.279475</v>
      </c>
      <c r="J9" s="61">
        <f>-'SALES SUMMARY'!M35</f>
        <v>-9.3677649999999986</v>
      </c>
      <c r="K9" s="61">
        <f>-'SALES SUMMARY'!M38</f>
        <v>0</v>
      </c>
      <c r="L9" s="61">
        <f>-'SALES SUMMARY'!M41</f>
        <v>-98.455594999999988</v>
      </c>
      <c r="M9" s="61">
        <f>-'SALES SUMMARY'!M44</f>
        <v>0</v>
      </c>
      <c r="N9" s="61">
        <f>-'SALES SUMMARY'!M47</f>
        <v>-222.21754999999999</v>
      </c>
      <c r="O9" s="61">
        <f>-'SALES SUMMARY'!M50</f>
        <v>-247.07735499999995</v>
      </c>
      <c r="P9" s="61">
        <f>-'SALES SUMMARY'!M53</f>
        <v>0</v>
      </c>
      <c r="Q9" s="61">
        <f>-'SALES SUMMARY'!M56</f>
        <v>0</v>
      </c>
      <c r="R9" s="61">
        <f>-'SALES SUMMARY'!M59</f>
        <v>0</v>
      </c>
      <c r="S9" s="61">
        <f>-'SALES SUMMARY'!M62</f>
        <v>-68.54285999999999</v>
      </c>
      <c r="T9" s="61">
        <f>-'SALES SUMMARY'!M65</f>
        <v>-243.89814999999999</v>
      </c>
      <c r="U9" s="61">
        <f>-'SALES SUMMARY'!M68</f>
        <v>-212.22821999999999</v>
      </c>
      <c r="V9" s="61">
        <f>-'SALES SUMMARY'!M71</f>
        <v>-401.42349000000002</v>
      </c>
      <c r="W9" s="61">
        <f>-'SALES SUMMARY'!M74</f>
        <v>-200.14822999999998</v>
      </c>
      <c r="X9" s="61">
        <f>-'SALES SUMMARY'!M77</f>
        <v>0</v>
      </c>
      <c r="Y9" s="61">
        <f>-'SALES SUMMARY'!M80</f>
        <v>0</v>
      </c>
      <c r="Z9" s="61">
        <f>-'SALES SUMMARY'!M83</f>
        <v>-219.79062999999996</v>
      </c>
      <c r="AA9" s="61">
        <f>-'SALES SUMMARY'!M86</f>
        <v>-90.868030000000005</v>
      </c>
      <c r="AB9" s="61">
        <f>-'SALES SUMMARY'!M89</f>
        <v>-224.54621499999999</v>
      </c>
      <c r="AC9" s="61">
        <f>-'SALES SUMMARY'!M92</f>
        <v>-425.56412</v>
      </c>
      <c r="AD9" s="61">
        <f>-'SALES SUMMARY'!M95</f>
        <v>-188.21357999999998</v>
      </c>
      <c r="AE9" s="61">
        <f>-'SALES SUMMARY'!M98</f>
        <v>-310.47418999999996</v>
      </c>
      <c r="AF9" s="61">
        <f>-'SALES SUMMARY'!M102</f>
        <v>0</v>
      </c>
    </row>
    <row r="10" spans="1:32">
      <c r="A10" s="59" t="s">
        <v>15</v>
      </c>
      <c r="B10" s="61">
        <f>-'SALES SUMMARY'!N11</f>
        <v>-59.639300000000006</v>
      </c>
      <c r="C10" s="61">
        <f>-'SALES SUMMARY'!N14</f>
        <v>0</v>
      </c>
      <c r="D10" s="61">
        <f>-'SALES SUMMARY'!N17</f>
        <v>0</v>
      </c>
      <c r="E10" s="61">
        <f>-'SALES SUMMARY'!N20</f>
        <v>-26.423000000000002</v>
      </c>
      <c r="F10" s="61">
        <f>-'SALES SUMMARY'!N23</f>
        <v>-97.003700000000009</v>
      </c>
      <c r="G10" s="61">
        <f>-'SALES SUMMARY'!N26</f>
        <v>-34.642949999999999</v>
      </c>
      <c r="H10" s="61">
        <f>-'SALES SUMMARY'!N29</f>
        <v>-63.539500000000004</v>
      </c>
      <c r="I10" s="61">
        <f>-'SALES SUMMARY'!N32</f>
        <v>-243.08825000000002</v>
      </c>
      <c r="J10" s="61">
        <f>-'SALES SUMMARY'!N35</f>
        <v>-2.17855</v>
      </c>
      <c r="K10" s="61">
        <f>-'SALES SUMMARY'!N38</f>
        <v>0</v>
      </c>
      <c r="L10" s="61">
        <f>-'SALES SUMMARY'!N41</f>
        <v>-22.896650000000001</v>
      </c>
      <c r="M10" s="61">
        <f>-'SALES SUMMARY'!N44</f>
        <v>0</v>
      </c>
      <c r="N10" s="61">
        <f>-'SALES SUMMARY'!N47</f>
        <v>-51.6785</v>
      </c>
      <c r="O10" s="61">
        <f>-'SALES SUMMARY'!N50</f>
        <v>-57.459849999999996</v>
      </c>
      <c r="P10" s="61">
        <f>-'SALES SUMMARY'!N53</f>
        <v>0</v>
      </c>
      <c r="Q10" s="61">
        <f>-'SALES SUMMARY'!N56</f>
        <v>0</v>
      </c>
      <c r="R10" s="61">
        <f>-'SALES SUMMARY'!N59</f>
        <v>0</v>
      </c>
      <c r="S10" s="61">
        <f>-'SALES SUMMARY'!N62</f>
        <v>-15.940199999999999</v>
      </c>
      <c r="T10" s="61">
        <f>-'SALES SUMMARY'!N65</f>
        <v>-56.720500000000001</v>
      </c>
      <c r="U10" s="61">
        <f>-'SALES SUMMARY'!N68</f>
        <v>-49.355400000000003</v>
      </c>
      <c r="V10" s="61">
        <f>-'SALES SUMMARY'!N71</f>
        <v>-93.354299999999995</v>
      </c>
      <c r="W10" s="61">
        <f>-'SALES SUMMARY'!N74</f>
        <v>-46.546100000000003</v>
      </c>
      <c r="X10" s="61">
        <f>-'SALES SUMMARY'!N77</f>
        <v>0</v>
      </c>
      <c r="Y10" s="61">
        <f>-'SALES SUMMARY'!N80</f>
        <v>0</v>
      </c>
      <c r="Z10" s="61">
        <f>-'SALES SUMMARY'!N83</f>
        <v>-51.114100000000001</v>
      </c>
      <c r="AA10" s="61">
        <f>-'SALES SUMMARY'!N86</f>
        <v>-21.132100000000001</v>
      </c>
      <c r="AB10" s="61">
        <f>-'SALES SUMMARY'!N89</f>
        <v>-52.220050000000001</v>
      </c>
      <c r="AC10" s="61">
        <f>-'SALES SUMMARY'!N92</f>
        <v>-98.968400000000003</v>
      </c>
      <c r="AD10" s="61">
        <f>-'SALES SUMMARY'!N95</f>
        <v>-43.770600000000002</v>
      </c>
      <c r="AE10" s="61">
        <f>-'SALES SUMMARY'!N98</f>
        <v>-72.203299999999999</v>
      </c>
      <c r="AF10" s="61">
        <f>-'SALES SUMMARY'!N102</f>
        <v>0</v>
      </c>
    </row>
    <row r="11" spans="1:32">
      <c r="A11" s="59" t="s">
        <v>16</v>
      </c>
      <c r="B11" s="61">
        <f>-'SALES SUMMARY'!O11</f>
        <v>-11611.771710000001</v>
      </c>
      <c r="C11" s="61">
        <f>-'SALES SUMMARY'!O14</f>
        <v>0</v>
      </c>
      <c r="D11" s="61">
        <f>-'SALES SUMMARY'!O17</f>
        <v>0</v>
      </c>
      <c r="E11" s="61">
        <f>-'SALES SUMMARY'!O20</f>
        <v>-5144.5581000000002</v>
      </c>
      <c r="F11" s="61">
        <f>-'SALES SUMMARY'!O23</f>
        <v>-18886.62039</v>
      </c>
      <c r="G11" s="61">
        <f>-'SALES SUMMARY'!O26</f>
        <v>-6744.9823650000008</v>
      </c>
      <c r="H11" s="61">
        <f>-'SALES SUMMARY'!O29</f>
        <v>-12371.140649999999</v>
      </c>
      <c r="I11" s="61">
        <f>-'SALES SUMMARY'!O32</f>
        <v>-47329.282275000005</v>
      </c>
      <c r="J11" s="61">
        <f>-'SALES SUMMARY'!O35</f>
        <v>-424.16368499999999</v>
      </c>
      <c r="K11" s="61">
        <f>-'SALES SUMMARY'!O38</f>
        <v>0</v>
      </c>
      <c r="L11" s="61">
        <f>-'SALES SUMMARY'!O41</f>
        <v>-4457.9777549999999</v>
      </c>
      <c r="M11" s="61">
        <f>-'SALES SUMMARY'!O44</f>
        <v>0</v>
      </c>
      <c r="N11" s="61">
        <f>-'SALES SUMMARY'!O47</f>
        <v>-10061.803950000001</v>
      </c>
      <c r="O11" s="61">
        <f>-'SALES SUMMARY'!O50</f>
        <v>-11187.432795000001</v>
      </c>
      <c r="P11" s="61">
        <f>-'SALES SUMMARY'!O53</f>
        <v>0</v>
      </c>
      <c r="Q11" s="61">
        <f>-'SALES SUMMARY'!O56</f>
        <v>0</v>
      </c>
      <c r="R11" s="61">
        <f>-'SALES SUMMARY'!O59</f>
        <v>0</v>
      </c>
      <c r="S11" s="61">
        <f>-'SALES SUMMARY'!O62</f>
        <v>-3103.5569399999999</v>
      </c>
      <c r="T11" s="61">
        <f>-'SALES SUMMARY'!O65</f>
        <v>-11043.48135</v>
      </c>
      <c r="U11" s="61">
        <f>-'SALES SUMMARY'!O68</f>
        <v>-9609.4963800000005</v>
      </c>
      <c r="V11" s="61">
        <f>-'SALES SUMMARY'!O71</f>
        <v>-18176.08221</v>
      </c>
      <c r="W11" s="61">
        <f>-'SALES SUMMARY'!O74</f>
        <v>-9062.5256699999991</v>
      </c>
      <c r="X11" s="61">
        <f>-'SALES SUMMARY'!O77</f>
        <v>0</v>
      </c>
      <c r="Y11" s="61">
        <f>-'SALES SUMMARY'!O80</f>
        <v>0</v>
      </c>
      <c r="Z11" s="61">
        <f>-'SALES SUMMARY'!O83</f>
        <v>-9951.9152699999995</v>
      </c>
      <c r="AA11" s="61">
        <f>-'SALES SUMMARY'!O86</f>
        <v>-4114.4198699999997</v>
      </c>
      <c r="AB11" s="61">
        <f>-'SALES SUMMARY'!O89</f>
        <v>-10167.243735</v>
      </c>
      <c r="AC11" s="61">
        <f>-'SALES SUMMARY'!O92</f>
        <v>-19269.14748</v>
      </c>
      <c r="AD11" s="61">
        <f>-'SALES SUMMARY'!O95</f>
        <v>-8522.1358200000013</v>
      </c>
      <c r="AE11" s="61">
        <f>-'SALES SUMMARY'!O98</f>
        <v>-14057.98251</v>
      </c>
      <c r="AF11" s="61">
        <f>-'SALES SUMMARY'!O102</f>
        <v>0</v>
      </c>
    </row>
    <row r="12" spans="1:32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SUMMARY'!P102</f>
        <v>0</v>
      </c>
    </row>
    <row r="13" spans="1:32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SUMMARY'!T102</f>
        <v>0</v>
      </c>
    </row>
    <row r="14" spans="1:32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SUMMARY'!U102</f>
        <v>0</v>
      </c>
    </row>
    <row r="15" spans="1:32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SUMMARY'!V102</f>
        <v>0</v>
      </c>
    </row>
    <row r="16" spans="1:32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SUMMARY'!W102</f>
        <v>0</v>
      </c>
    </row>
    <row r="17" spans="1:32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SUMMARY'!Y102</f>
        <v>0</v>
      </c>
    </row>
    <row r="18" spans="1:32">
      <c r="A18" s="59" t="s">
        <v>48</v>
      </c>
      <c r="B18" s="61">
        <f>-'SALES SUMMARY'!Z11</f>
        <v>0</v>
      </c>
      <c r="C18" s="61">
        <f>-'SALES SUMMARY'!Z14</f>
        <v>0</v>
      </c>
      <c r="D18" s="61">
        <f>-'SALES SUMMARY'!Z17</f>
        <v>0</v>
      </c>
      <c r="E18" s="61">
        <f>-'SALES SUMMARY'!Z20</f>
        <v>0</v>
      </c>
      <c r="F18" s="61">
        <f>-'SALES SUMMARY'!Z23</f>
        <v>0</v>
      </c>
      <c r="G18" s="61">
        <f>-'SALES SUMMARY'!Z26</f>
        <v>0</v>
      </c>
      <c r="H18" s="61">
        <f>-'SALES SUMMARY'!Z29</f>
        <v>0</v>
      </c>
      <c r="I18" s="61">
        <f>-'SALES SUMMARY'!Z32</f>
        <v>0</v>
      </c>
      <c r="J18" s="61">
        <f>-'SALES SUMMARY'!Z35</f>
        <v>0</v>
      </c>
      <c r="K18" s="61">
        <f>-'SALES SUMMARY'!Z38</f>
        <v>0</v>
      </c>
      <c r="L18" s="61">
        <f>-'SALES SUMMARY'!Z41</f>
        <v>0</v>
      </c>
      <c r="M18" s="61">
        <f>-'SALES SUMMARY'!Z44</f>
        <v>0</v>
      </c>
      <c r="N18" s="61">
        <f>-'SALES SUMMARY'!Z47</f>
        <v>0</v>
      </c>
      <c r="O18" s="61">
        <f>-'SALES SUMMARY'!Z50</f>
        <v>0</v>
      </c>
      <c r="P18" s="61">
        <f>-'SALES SUMMARY'!Z53</f>
        <v>0</v>
      </c>
      <c r="Q18" s="61">
        <f>-'SALES SUMMARY'!Z56</f>
        <v>0</v>
      </c>
      <c r="R18" s="61">
        <f>-'SALES SUMMARY'!Z59</f>
        <v>0</v>
      </c>
      <c r="S18" s="61">
        <f>-'SALES SUMMARY'!Z62</f>
        <v>0</v>
      </c>
      <c r="T18" s="61">
        <f>-'SALES SUMMARY'!Z65</f>
        <v>0</v>
      </c>
      <c r="U18" s="61">
        <f>-'SALES SUMMARY'!Z68</f>
        <v>0</v>
      </c>
      <c r="V18" s="61">
        <f>-'SALES SUMMARY'!Z71</f>
        <v>0</v>
      </c>
      <c r="W18" s="61">
        <f>-'SALES SUMMARY'!Z74</f>
        <v>0</v>
      </c>
      <c r="X18" s="61">
        <f>-'SALES SUMMARY'!Z77</f>
        <v>0</v>
      </c>
      <c r="Y18" s="61">
        <f>-'SALES SUMMARY'!Z80</f>
        <v>0</v>
      </c>
      <c r="Z18" s="61">
        <f>-'SALES SUMMARY'!Z83</f>
        <v>0</v>
      </c>
      <c r="AA18" s="61">
        <f>-'SALES SUMMARY'!Z86</f>
        <v>0</v>
      </c>
      <c r="AB18" s="61">
        <f>-'SALES SUMMARY'!Z89</f>
        <v>0</v>
      </c>
      <c r="AC18" s="61">
        <f>-'SALES SUMMARY'!Z92</f>
        <v>0</v>
      </c>
      <c r="AD18" s="61">
        <f>-'SALES SUMMARY'!Z95</f>
        <v>0</v>
      </c>
      <c r="AE18" s="61">
        <f>-'SALES SUMMARY'!Z98</f>
        <v>0</v>
      </c>
      <c r="AF18" s="61">
        <f>-'SALES SUMMARY'!Z102</f>
        <v>0</v>
      </c>
    </row>
    <row r="19" spans="1:32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0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0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SUMMARY'!AA102</f>
        <v>0</v>
      </c>
    </row>
    <row r="20" spans="1:32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0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0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0</v>
      </c>
      <c r="AF20" s="61">
        <f>-'SALES SUMMARY'!AB102</f>
        <v>0</v>
      </c>
    </row>
    <row r="21" spans="1:32">
      <c r="A21" s="59" t="s">
        <v>51</v>
      </c>
      <c r="B21" s="61">
        <f>-'SALES SUMMARY'!AC11</f>
        <v>0</v>
      </c>
      <c r="C21" s="61">
        <f>-'SALES SUMMARY'!AC14</f>
        <v>0</v>
      </c>
      <c r="D21" s="61">
        <f>-'SALES SUMMARY'!AC17</f>
        <v>0</v>
      </c>
      <c r="E21" s="61">
        <f>-'SALES SUMMARY'!AC20</f>
        <v>0</v>
      </c>
      <c r="F21" s="61">
        <f>-'SALES SUMMARY'!AC23</f>
        <v>0</v>
      </c>
      <c r="G21" s="61">
        <f>-'SALES SUMMARY'!AC26</f>
        <v>0</v>
      </c>
      <c r="H21" s="61">
        <f>-'SALES SUMMARY'!AC29</f>
        <v>0</v>
      </c>
      <c r="I21" s="61">
        <f>-'SALES SUMMARY'!AC32</f>
        <v>0</v>
      </c>
      <c r="J21" s="61">
        <f>-'SALES SUMMARY'!AC35</f>
        <v>0</v>
      </c>
      <c r="K21" s="61">
        <f>-'SALES SUMMARY'!AC38</f>
        <v>0</v>
      </c>
      <c r="L21" s="61">
        <f>-'SALES SUMMARY'!AC41</f>
        <v>0</v>
      </c>
      <c r="M21" s="61">
        <f>-'SALES SUMMARY'!AC44</f>
        <v>0</v>
      </c>
      <c r="N21" s="61">
        <f>-'SALES SUMMARY'!AC47</f>
        <v>0</v>
      </c>
      <c r="O21" s="61">
        <f>-'SALES SUMMARY'!AC50</f>
        <v>0</v>
      </c>
      <c r="P21" s="61">
        <f>-'SALES SUMMARY'!AC53</f>
        <v>0</v>
      </c>
      <c r="Q21" s="61">
        <f>-'SALES SUMMARY'!AC56</f>
        <v>0</v>
      </c>
      <c r="R21" s="61">
        <f>-'SALES SUMMARY'!AC59</f>
        <v>0</v>
      </c>
      <c r="S21" s="61">
        <f>-'SALES SUMMARY'!AC62</f>
        <v>0</v>
      </c>
      <c r="T21" s="61">
        <f>-'SALES SUMMARY'!AC65</f>
        <v>0</v>
      </c>
      <c r="U21" s="61">
        <f>-'SALES SUMMARY'!AC68</f>
        <v>0</v>
      </c>
      <c r="V21" s="61">
        <f>-'SALES SUMMARY'!AC71</f>
        <v>0</v>
      </c>
      <c r="W21" s="61">
        <f>-'SALES SUMMARY'!AC74</f>
        <v>0</v>
      </c>
      <c r="X21" s="61">
        <f>-'SALES SUMMARY'!AC77</f>
        <v>0</v>
      </c>
      <c r="Y21" s="61">
        <f>-'SALES SUMMARY'!AC80</f>
        <v>0</v>
      </c>
      <c r="Z21" s="61">
        <f>-'SALES SUMMARY'!AC83</f>
        <v>0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0</v>
      </c>
      <c r="AE21" s="61">
        <f>-'SALES SUMMARY'!AC98</f>
        <v>0</v>
      </c>
      <c r="AF21" s="61">
        <f>-'SALES SUMMARY'!AC102</f>
        <v>0</v>
      </c>
    </row>
    <row r="22" spans="1:32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SUMMARY'!AE102</f>
        <v>0</v>
      </c>
    </row>
    <row r="23" spans="1:32">
      <c r="A23" s="59" t="s">
        <v>52</v>
      </c>
      <c r="B23" s="61">
        <f>'SALES SUMMARY'!AG11</f>
        <v>2541.364</v>
      </c>
      <c r="C23" s="61">
        <f>'SALES SUMMARY'!AG14</f>
        <v>349.54039999999998</v>
      </c>
      <c r="D23" s="61">
        <f>'SALES SUMMARY'!AG17</f>
        <v>0</v>
      </c>
      <c r="E23" s="61">
        <f>'SALES SUMMARY'!AG20</f>
        <v>1224.8499999999999</v>
      </c>
      <c r="F23" s="61">
        <f>'SALES SUMMARY'!AG23</f>
        <v>2183.7316000000001</v>
      </c>
      <c r="G23" s="61">
        <f>'SALES SUMMARY'!AG26</f>
        <v>1676.8324000000002</v>
      </c>
      <c r="H23" s="61">
        <f>'SALES SUMMARY'!AG29</f>
        <v>1964.2071999999998</v>
      </c>
      <c r="I23" s="61">
        <f>'SALES SUMMARY'!AG32</f>
        <v>4216.9520000000002</v>
      </c>
      <c r="J23" s="61">
        <f>'SALES SUMMARY'!AG35</f>
        <v>234.72919999999999</v>
      </c>
      <c r="K23" s="61">
        <f>'SALES SUMMARY'!AG38</f>
        <v>0</v>
      </c>
      <c r="L23" s="61">
        <f>'SALES SUMMARY'!AG41</f>
        <v>741.88000000000011</v>
      </c>
      <c r="M23" s="61">
        <f>'SALES SUMMARY'!AG44</f>
        <v>0</v>
      </c>
      <c r="N23" s="61">
        <f>'SALES SUMMARY'!AG47</f>
        <v>1650.53</v>
      </c>
      <c r="O23" s="61">
        <f>'SALES SUMMARY'!AG50</f>
        <v>2901.8047999999999</v>
      </c>
      <c r="P23" s="61">
        <f>'SALES SUMMARY'!AG53</f>
        <v>0</v>
      </c>
      <c r="Q23" s="61">
        <f>'SALES SUMMARY'!AG56</f>
        <v>329.98360000000002</v>
      </c>
      <c r="R23" s="61">
        <f>'SALES SUMMARY'!AG59</f>
        <v>0</v>
      </c>
      <c r="S23" s="61">
        <f>'SALES SUMMARY'!AG62</f>
        <v>1262.3180000000002</v>
      </c>
      <c r="T23" s="61">
        <f>'SALES SUMMARY'!AG65</f>
        <v>1298.3784000000001</v>
      </c>
      <c r="U23" s="61">
        <f>'SALES SUMMARY'!AG68</f>
        <v>2320.1531999999997</v>
      </c>
      <c r="V23" s="61">
        <f>'SALES SUMMARY'!AG71</f>
        <v>2169.7916</v>
      </c>
      <c r="W23" s="61">
        <f>'SALES SUMMARY'!AG74</f>
        <v>2236.8124000000003</v>
      </c>
      <c r="X23" s="61">
        <f>'SALES SUMMARY'!AG77</f>
        <v>447.05920000000009</v>
      </c>
      <c r="Y23" s="61">
        <f>'SALES SUMMARY'!AG80</f>
        <v>0</v>
      </c>
      <c r="Z23" s="61">
        <f>'SALES SUMMARY'!AG83</f>
        <v>1812.1320000000001</v>
      </c>
      <c r="AA23" s="61">
        <f>'SALES SUMMARY'!AG86</f>
        <v>1604.5688</v>
      </c>
      <c r="AB23" s="61">
        <f>'SALES SUMMARY'!AG89</f>
        <v>2769.6196000000004</v>
      </c>
      <c r="AC23" s="61">
        <f>'SALES SUMMARY'!AG92</f>
        <v>2266.0864000000001</v>
      </c>
      <c r="AD23" s="61">
        <f>'SALES SUMMARY'!AG95</f>
        <v>4163.1232</v>
      </c>
      <c r="AE23" s="61">
        <f>'SALES SUMMARY'!AG98</f>
        <v>956.57640000000004</v>
      </c>
      <c r="AF23" s="61">
        <f>'SALES SUMMARY'!AG102</f>
        <v>0</v>
      </c>
    </row>
    <row r="24" spans="1:32">
      <c r="A24" s="59" t="s">
        <v>53</v>
      </c>
      <c r="B24" s="61">
        <f>'SALES SUMMARY'!AH11</f>
        <v>448.476</v>
      </c>
      <c r="C24" s="61">
        <f>'SALES SUMMARY'!AH14</f>
        <v>61.683599999999998</v>
      </c>
      <c r="D24" s="61">
        <f>'SALES SUMMARY'!AH17</f>
        <v>0</v>
      </c>
      <c r="E24" s="61">
        <f>'SALES SUMMARY'!AH20</f>
        <v>216.14999999999998</v>
      </c>
      <c r="F24" s="61">
        <f>'SALES SUMMARY'!AH23</f>
        <v>385.36439999999999</v>
      </c>
      <c r="G24" s="61">
        <f>'SALES SUMMARY'!AH26</f>
        <v>295.91160000000002</v>
      </c>
      <c r="H24" s="61">
        <f>'SALES SUMMARY'!AH29</f>
        <v>346.62479999999999</v>
      </c>
      <c r="I24" s="61">
        <f>'SALES SUMMARY'!AH32</f>
        <v>744.16800000000001</v>
      </c>
      <c r="J24" s="61">
        <f>'SALES SUMMARY'!AH35</f>
        <v>41.422799999999995</v>
      </c>
      <c r="K24" s="61">
        <f>'SALES SUMMARY'!AH38</f>
        <v>0</v>
      </c>
      <c r="L24" s="61">
        <f>'SALES SUMMARY'!AH41</f>
        <v>130.92000000000002</v>
      </c>
      <c r="M24" s="61">
        <f>'SALES SUMMARY'!AH44</f>
        <v>0</v>
      </c>
      <c r="N24" s="61">
        <f>'SALES SUMMARY'!AH47</f>
        <v>291.27</v>
      </c>
      <c r="O24" s="61">
        <f>'SALES SUMMARY'!AH50</f>
        <v>512.08320000000003</v>
      </c>
      <c r="P24" s="61">
        <f>'SALES SUMMARY'!AH53</f>
        <v>0</v>
      </c>
      <c r="Q24" s="61">
        <f>'SALES SUMMARY'!AH56</f>
        <v>58.232399999999998</v>
      </c>
      <c r="R24" s="61">
        <f>'SALES SUMMARY'!AH59</f>
        <v>0</v>
      </c>
      <c r="S24" s="61">
        <f>'SALES SUMMARY'!AH62</f>
        <v>222.762</v>
      </c>
      <c r="T24" s="61">
        <f>'SALES SUMMARY'!AH65</f>
        <v>229.12560000000002</v>
      </c>
      <c r="U24" s="61">
        <f>'SALES SUMMARY'!AH68</f>
        <v>409.43880000000001</v>
      </c>
      <c r="V24" s="61">
        <f>'SALES SUMMARY'!AH71</f>
        <v>382.90440000000001</v>
      </c>
      <c r="W24" s="61">
        <f>'SALES SUMMARY'!AH74</f>
        <v>394.73160000000007</v>
      </c>
      <c r="X24" s="61">
        <f>'SALES SUMMARY'!AH77</f>
        <v>78.892800000000008</v>
      </c>
      <c r="Y24" s="61">
        <f>'SALES SUMMARY'!AH80</f>
        <v>0</v>
      </c>
      <c r="Z24" s="61">
        <f>'SALES SUMMARY'!AH83</f>
        <v>319.78800000000001</v>
      </c>
      <c r="AA24" s="61">
        <f>'SALES SUMMARY'!AH86</f>
        <v>283.1592</v>
      </c>
      <c r="AB24" s="61">
        <f>'SALES SUMMARY'!AH89</f>
        <v>488.75640000000004</v>
      </c>
      <c r="AC24" s="61">
        <f>'SALES SUMMARY'!AH92</f>
        <v>399.89760000000001</v>
      </c>
      <c r="AD24" s="61">
        <f>'SALES SUMMARY'!AH95</f>
        <v>734.66880000000003</v>
      </c>
      <c r="AE24" s="61">
        <f>'SALES SUMMARY'!AH98</f>
        <v>168.80760000000001</v>
      </c>
      <c r="AF24" s="61">
        <f>'SALES SUMMARY'!AH102</f>
        <v>0</v>
      </c>
    </row>
    <row r="25" spans="1:32">
      <c r="A25" s="59" t="s">
        <v>54</v>
      </c>
      <c r="B25" s="61">
        <f>'SALES SUMMARY'!AI11</f>
        <v>747.46</v>
      </c>
      <c r="C25" s="61">
        <f>'SALES SUMMARY'!AI14</f>
        <v>102.806</v>
      </c>
      <c r="D25" s="61">
        <f>'SALES SUMMARY'!AI17</f>
        <v>0</v>
      </c>
      <c r="E25" s="61">
        <f>'SALES SUMMARY'!AI20</f>
        <v>360.25</v>
      </c>
      <c r="F25" s="61">
        <f>'SALES SUMMARY'!AI23</f>
        <v>642.274</v>
      </c>
      <c r="G25" s="61">
        <f>'SALES SUMMARY'!AI26</f>
        <v>493.18600000000004</v>
      </c>
      <c r="H25" s="61">
        <f>'SALES SUMMARY'!AI29</f>
        <v>577.70800000000008</v>
      </c>
      <c r="I25" s="61">
        <f>'SALES SUMMARY'!AI32</f>
        <v>1240.2800000000002</v>
      </c>
      <c r="J25" s="61">
        <f>'SALES SUMMARY'!AI35</f>
        <v>69.037999999999997</v>
      </c>
      <c r="K25" s="61">
        <f>'SALES SUMMARY'!AI38</f>
        <v>0</v>
      </c>
      <c r="L25" s="61">
        <f>'SALES SUMMARY'!AI41</f>
        <v>218.20000000000002</v>
      </c>
      <c r="M25" s="61">
        <f>'SALES SUMMARY'!AI44</f>
        <v>0</v>
      </c>
      <c r="N25" s="61">
        <f>'SALES SUMMARY'!AI47</f>
        <v>485.45000000000005</v>
      </c>
      <c r="O25" s="61">
        <f>'SALES SUMMARY'!AI50</f>
        <v>853.47200000000009</v>
      </c>
      <c r="P25" s="61">
        <f>'SALES SUMMARY'!AI53</f>
        <v>0</v>
      </c>
      <c r="Q25" s="61">
        <f>'SALES SUMMARY'!AI56</f>
        <v>97.054000000000002</v>
      </c>
      <c r="R25" s="61">
        <f>'SALES SUMMARY'!AI59</f>
        <v>0</v>
      </c>
      <c r="S25" s="61">
        <f>'SALES SUMMARY'!AI62</f>
        <v>371.27000000000004</v>
      </c>
      <c r="T25" s="61">
        <f>'SALES SUMMARY'!AI65</f>
        <v>381.87600000000003</v>
      </c>
      <c r="U25" s="61">
        <f>'SALES SUMMARY'!AI68</f>
        <v>682.39800000000002</v>
      </c>
      <c r="V25" s="61">
        <f>'SALES SUMMARY'!AI71</f>
        <v>638.17400000000009</v>
      </c>
      <c r="W25" s="61">
        <f>'SALES SUMMARY'!AI74</f>
        <v>657.88600000000008</v>
      </c>
      <c r="X25" s="61">
        <f>'SALES SUMMARY'!AI77</f>
        <v>131.48800000000003</v>
      </c>
      <c r="Y25" s="61">
        <f>'SALES SUMMARY'!AI80</f>
        <v>0</v>
      </c>
      <c r="Z25" s="61">
        <f>'SALES SUMMARY'!AI83</f>
        <v>532.98</v>
      </c>
      <c r="AA25" s="61">
        <f>'SALES SUMMARY'!AI86</f>
        <v>471.93200000000002</v>
      </c>
      <c r="AB25" s="61">
        <f>'SALES SUMMARY'!AI89</f>
        <v>814.59400000000005</v>
      </c>
      <c r="AC25" s="61">
        <f>'SALES SUMMARY'!AI92</f>
        <v>666.49599999999998</v>
      </c>
      <c r="AD25" s="61">
        <f>'SALES SUMMARY'!AI95</f>
        <v>1224.4480000000001</v>
      </c>
      <c r="AE25" s="61">
        <f>'SALES SUMMARY'!AI98</f>
        <v>281.346</v>
      </c>
      <c r="AF25" s="61">
        <f>'SALES SUMMARY'!AI102</f>
        <v>0</v>
      </c>
    </row>
    <row r="26" spans="1:32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SUMMARY'!AJ102</f>
        <v>0</v>
      </c>
    </row>
    <row r="27" spans="1:32">
      <c r="A27" s="59" t="s">
        <v>56</v>
      </c>
      <c r="B27" s="61">
        <f>'SALES SUMMARY'!AK11</f>
        <v>43187.5</v>
      </c>
      <c r="C27" s="61">
        <f>'SALES SUMMARY'!AK14</f>
        <v>5140.1785714285706</v>
      </c>
      <c r="D27" s="61">
        <f>'SALES SUMMARY'!AK17</f>
        <v>0</v>
      </c>
      <c r="E27" s="61">
        <f>'SALES SUMMARY'!AK20</f>
        <v>20161.580357142855</v>
      </c>
      <c r="F27" s="61">
        <f>'SALES SUMMARY'!AK23</f>
        <v>0</v>
      </c>
      <c r="G27" s="61">
        <f>'SALES SUMMARY'!AK26</f>
        <v>27341.642857142855</v>
      </c>
      <c r="H27" s="61">
        <f>'SALES SUMMARY'!AK29</f>
        <v>31060.026785714283</v>
      </c>
      <c r="I27" s="61">
        <f>'SALES SUMMARY'!AK32</f>
        <v>64954.839285714275</v>
      </c>
      <c r="J27" s="61">
        <f>'SALES SUMMARY'!AK35</f>
        <v>4349.1071428571422</v>
      </c>
      <c r="K27" s="61">
        <f>'SALES SUMMARY'!AK38</f>
        <v>0</v>
      </c>
      <c r="L27" s="61">
        <f>'SALES SUMMARY'!AK41</f>
        <v>12589.5625</v>
      </c>
      <c r="M27" s="61">
        <f>'SALES SUMMARY'!AK44</f>
        <v>0</v>
      </c>
      <c r="N27" s="61">
        <f>'SALES SUMMARY'!AK47</f>
        <v>26076.392857142855</v>
      </c>
      <c r="O27" s="61">
        <f>'SALES SUMMARY'!AK50</f>
        <v>45336.696428571428</v>
      </c>
      <c r="P27" s="61">
        <f>'SALES SUMMARY'!AK53</f>
        <v>0</v>
      </c>
      <c r="Q27" s="61">
        <f>'SALES SUMMARY'!AK56</f>
        <v>6227.6785714285706</v>
      </c>
      <c r="R27" s="61">
        <f>'SALES SUMMARY'!AK59</f>
        <v>0</v>
      </c>
      <c r="S27" s="61">
        <f>'SALES SUMMARY'!AK62</f>
        <v>19986.919642857141</v>
      </c>
      <c r="T27" s="61">
        <f>'SALES SUMMARY'!AK65</f>
        <v>21208.758928571428</v>
      </c>
      <c r="U27" s="61">
        <f>'SALES SUMMARY'!AK68</f>
        <v>35737.982142857145</v>
      </c>
      <c r="V27" s="61">
        <f>'SALES SUMMARY'!AK71</f>
        <v>33961.07142857142</v>
      </c>
      <c r="W27" s="61">
        <f>'SALES SUMMARY'!AK74</f>
        <v>39477.07142857142</v>
      </c>
      <c r="X27" s="61">
        <f>'SALES SUMMARY'!AK77</f>
        <v>7258.9285714285706</v>
      </c>
      <c r="Y27" s="61">
        <f>'SALES SUMMARY'!AK80</f>
        <v>0</v>
      </c>
      <c r="Z27" s="61">
        <f>'SALES SUMMARY'!AK83</f>
        <v>28528.499999999993</v>
      </c>
      <c r="AA27" s="61">
        <f>'SALES SUMMARY'!AK86</f>
        <v>26723.080357142855</v>
      </c>
      <c r="AB27" s="61">
        <f>'SALES SUMMARY'!AK89</f>
        <v>44462.991071428572</v>
      </c>
      <c r="AC27" s="61">
        <f>'SALES SUMMARY'!AK92</f>
        <v>35994.071428571428</v>
      </c>
      <c r="AD27" s="61">
        <f>'SALES SUMMARY'!AK95</f>
        <v>65508.651785714275</v>
      </c>
      <c r="AE27" s="61">
        <f>'SALES SUMMARY'!AK98</f>
        <v>14716.169642857141</v>
      </c>
      <c r="AF27" s="61">
        <f>'SALES SUMMARY'!AK102</f>
        <v>0</v>
      </c>
    </row>
    <row r="28" spans="1:32">
      <c r="A28" s="59" t="s">
        <v>57</v>
      </c>
      <c r="B28" s="61">
        <f>'SALES SUMMARY'!AM11</f>
        <v>5124.123599999999</v>
      </c>
      <c r="C28" s="61">
        <f>'SALES SUMMARY'!AM14</f>
        <v>616.82142857142844</v>
      </c>
      <c r="D28" s="61">
        <f>'SALES SUMMARY'!AM17</f>
        <v>0</v>
      </c>
      <c r="E28" s="61">
        <f>'SALES SUMMARY'!AM20</f>
        <v>2362.6464428571426</v>
      </c>
      <c r="F28" s="61">
        <f>'SALES SUMMARY'!AM23</f>
        <v>0</v>
      </c>
      <c r="G28" s="61">
        <f>'SALES SUMMARY'!AM26</f>
        <v>3227.1135428571424</v>
      </c>
      <c r="H28" s="61">
        <f>'SALES SUMMARY'!AM29</f>
        <v>3655.8812142857141</v>
      </c>
      <c r="I28" s="61">
        <f>'SALES SUMMARY'!AM32</f>
        <v>7731.2603142857124</v>
      </c>
      <c r="J28" s="61">
        <f>'SALES SUMMARY'!AM35</f>
        <v>521.892857142857</v>
      </c>
      <c r="K28" s="61">
        <f>'SALES SUMMARY'!AM38</f>
        <v>0</v>
      </c>
      <c r="L28" s="61">
        <f>'SALES SUMMARY'!AM41</f>
        <v>1450.8230999999998</v>
      </c>
      <c r="M28" s="61">
        <f>'SALES SUMMARY'!AM44</f>
        <v>0</v>
      </c>
      <c r="N28" s="61">
        <f>'SALES SUMMARY'!AM47</f>
        <v>3060.0615428571427</v>
      </c>
      <c r="O28" s="61">
        <f>'SALES SUMMARY'!AM50</f>
        <v>5399.5951714285711</v>
      </c>
      <c r="P28" s="61">
        <f>'SALES SUMMARY'!AM53</f>
        <v>0</v>
      </c>
      <c r="Q28" s="61">
        <f>'SALES SUMMARY'!AM56</f>
        <v>747.32142857142844</v>
      </c>
      <c r="R28" s="61">
        <f>'SALES SUMMARY'!AM59</f>
        <v>0</v>
      </c>
      <c r="S28" s="61">
        <f>'SALES SUMMARY'!AM62</f>
        <v>2335.1915571428572</v>
      </c>
      <c r="T28" s="61">
        <f>'SALES SUMMARY'!AM65</f>
        <v>2475.3658714285712</v>
      </c>
      <c r="U28" s="61">
        <f>'SALES SUMMARY'!AM68</f>
        <v>4228.5170571428571</v>
      </c>
      <c r="V28" s="61">
        <f>'SALES SUMMARY'!AM71</f>
        <v>4024.0801714285708</v>
      </c>
      <c r="W28" s="61">
        <f>'SALES SUMMARY'!AM74</f>
        <v>4697.2321714285708</v>
      </c>
      <c r="X28" s="61">
        <f>'SALES SUMMARY'!AM77</f>
        <v>848.66142857142847</v>
      </c>
      <c r="Y28" s="61">
        <f>'SALES SUMMARY'!AM80</f>
        <v>0</v>
      </c>
      <c r="Z28" s="61">
        <f>'SALES SUMMARY'!AM83</f>
        <v>3367.4843999999989</v>
      </c>
      <c r="AA28" s="61">
        <f>'SALES SUMMARY'!AM86</f>
        <v>3163.6296428571422</v>
      </c>
      <c r="AB28" s="61">
        <f>'SALES SUMMARY'!AM89</f>
        <v>5235.0517285714286</v>
      </c>
      <c r="AC28" s="61">
        <f>'SALES SUMMARY'!AM92</f>
        <v>4242.0169714285712</v>
      </c>
      <c r="AD28" s="61">
        <f>'SALES SUMMARY'!AM95</f>
        <v>7772.5454142857134</v>
      </c>
      <c r="AE28" s="61">
        <f>'SALES SUMMARY'!AM98</f>
        <v>1738.9019571428569</v>
      </c>
      <c r="AF28" s="61">
        <f>'SALES SUMMARY'!AM102</f>
        <v>0</v>
      </c>
    </row>
    <row r="30" spans="1:32">
      <c r="A30" s="58" t="s">
        <v>58</v>
      </c>
      <c r="B30" s="63">
        <f>-'SALES SUMMARY'!AZ11</f>
        <v>0</v>
      </c>
      <c r="C30" s="63">
        <f>-'SALES SUMMARY'!AZ14</f>
        <v>0</v>
      </c>
      <c r="D30" s="63">
        <f>-'SALES SUMMARY'!AZ17</f>
        <v>0</v>
      </c>
      <c r="E30" s="63">
        <f>-'SALES SUMMARY'!AZ20</f>
        <v>-180</v>
      </c>
      <c r="F30" s="63">
        <f>-'SALES SUMMARY'!AZ23</f>
        <v>0</v>
      </c>
      <c r="G30" s="63">
        <f>-'SALES SUMMARY'!AZ26</f>
        <v>0</v>
      </c>
      <c r="H30" s="63">
        <f>-'SALES SUMMARY'!AZ29</f>
        <v>0</v>
      </c>
      <c r="I30" s="63">
        <f>-'SALES SUMMARY'!AZ32</f>
        <v>-445</v>
      </c>
      <c r="J30" s="63">
        <f>-'SALES SUMMARY'!AZ35</f>
        <v>-2091</v>
      </c>
      <c r="K30" s="63">
        <f>-'SALES SUMMARY'!AZ38</f>
        <v>0</v>
      </c>
      <c r="L30" s="63">
        <f>-'SALES SUMMARY'!AZ41</f>
        <v>-525</v>
      </c>
      <c r="M30" s="63">
        <f>-'SALES SUMMARY'!AZ44</f>
        <v>0</v>
      </c>
      <c r="N30" s="63">
        <f>-'SALES SUMMARY'!AZ47</f>
        <v>-895</v>
      </c>
      <c r="O30" s="63">
        <f>-'SALES SUMMARY'!AZ50</f>
        <v>-265</v>
      </c>
      <c r="P30" s="63">
        <f>-'SALES SUMMARY'!AZ53</f>
        <v>0</v>
      </c>
      <c r="Q30" s="63">
        <f>-'SALES SUMMARY'!AZ56</f>
        <v>-1050</v>
      </c>
      <c r="R30" s="63">
        <f>-'SALES SUMMARY'!AZ59</f>
        <v>0</v>
      </c>
      <c r="S30" s="63">
        <f>-'SALES SUMMARY'!AZ62</f>
        <v>0</v>
      </c>
      <c r="T30" s="63">
        <f>-'SALES SUMMARY'!AZ65</f>
        <v>-480</v>
      </c>
      <c r="U30" s="63">
        <f>-'SALES SUMMARY'!AZ68</f>
        <v>0</v>
      </c>
      <c r="V30" s="63">
        <f>-'SALES SUMMARY'!AZ71</f>
        <v>-1585</v>
      </c>
      <c r="W30" s="63">
        <f>-'SALES SUMMARY'!AZ74</f>
        <v>-435</v>
      </c>
      <c r="X30" s="63">
        <f>-'SALES SUMMARY'!AZ77</f>
        <v>-195</v>
      </c>
      <c r="Y30" s="63">
        <f>-'SALES SUMMARY'!AZ80</f>
        <v>0</v>
      </c>
      <c r="Z30" s="63">
        <f>-'SALES SUMMARY'!AZ83</f>
        <v>0</v>
      </c>
      <c r="AA30" s="63">
        <f>-'SALES SUMMARY'!AZ86</f>
        <v>-155</v>
      </c>
      <c r="AB30" s="63">
        <f>-'SALES SUMMARY'!AZ89</f>
        <v>-185</v>
      </c>
      <c r="AC30" s="63">
        <f>-'SALES SUMMARY'!AZ92</f>
        <v>-148</v>
      </c>
      <c r="AD30" s="63">
        <f>-'SALES SUMMARY'!AZ95</f>
        <v>-65</v>
      </c>
      <c r="AE30" s="63">
        <f>-'SALES SUMMARY'!AZ98</f>
        <v>0</v>
      </c>
      <c r="AF30" s="63">
        <f>-'SALES SUMMARY'!AZ102</f>
        <v>0</v>
      </c>
    </row>
    <row r="31" spans="1:32">
      <c r="A31" s="58" t="s">
        <v>59</v>
      </c>
      <c r="B31" s="63">
        <f>-'SALES SUMMARY'!BA11</f>
        <v>-110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0</v>
      </c>
      <c r="I31" s="63">
        <f>-'SALES SUMMARY'!BA32</f>
        <v>-60</v>
      </c>
      <c r="J31" s="63">
        <f>-'SALES SUMMARY'!BA35</f>
        <v>0</v>
      </c>
      <c r="K31" s="63">
        <f>-'SALES SUMMARY'!BA38</f>
        <v>0</v>
      </c>
      <c r="L31" s="63">
        <f>-'SALES SUMMARY'!BA41</f>
        <v>-185</v>
      </c>
      <c r="M31" s="63">
        <f>-'SALES SUMMARY'!BA44</f>
        <v>0</v>
      </c>
      <c r="N31" s="63">
        <f>-'SALES SUMMARY'!BA47</f>
        <v>-175</v>
      </c>
      <c r="O31" s="63">
        <f>-'SALES SUMMARY'!BA50</f>
        <v>-620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-333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-150</v>
      </c>
      <c r="AE31" s="63">
        <f>-'SALES SUMMARY'!BA98</f>
        <v>-1120</v>
      </c>
      <c r="AF31" s="63">
        <f>-'SALES SUMMARY'!BA102</f>
        <v>0</v>
      </c>
    </row>
    <row r="32" spans="1:32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0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SUMMARY'!BB102</f>
        <v>0</v>
      </c>
    </row>
    <row r="33" spans="1:32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0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SUMMARY'!BD102-'SALES SUMMARY'!BC102)</f>
        <v>0</v>
      </c>
    </row>
    <row r="34" spans="1:32">
      <c r="A34" s="58" t="s">
        <v>36</v>
      </c>
      <c r="B34" s="63">
        <f>'SALES SUMMARY'!BR11</f>
        <v>110</v>
      </c>
      <c r="C34" s="63">
        <f>'SALES SUMMARY'!BR14</f>
        <v>0</v>
      </c>
      <c r="D34" s="63">
        <f>'SALES SUMMARY'!BR17</f>
        <v>0</v>
      </c>
      <c r="E34" s="63">
        <f>'SALES SUMMARY'!BR20</f>
        <v>180</v>
      </c>
      <c r="F34" s="63">
        <f>'SALES SUMMARY'!BR23</f>
        <v>0</v>
      </c>
      <c r="G34" s="63">
        <f>'SALES SUMMARY'!BR26</f>
        <v>0</v>
      </c>
      <c r="H34" s="63">
        <f>'SALES SUMMARY'!BR29</f>
        <v>0</v>
      </c>
      <c r="I34" s="63">
        <f>'SALES SUMMARY'!BR32</f>
        <v>505</v>
      </c>
      <c r="J34" s="63">
        <f>'SALES SUMMARY'!BR35</f>
        <v>2091</v>
      </c>
      <c r="K34" s="63">
        <f>'SALES SUMMARY'!BR38</f>
        <v>0</v>
      </c>
      <c r="L34" s="63">
        <f>'SALES SUMMARY'!BR41</f>
        <v>710</v>
      </c>
      <c r="M34" s="63">
        <f>'SALES SUMMARY'!BR44</f>
        <v>0</v>
      </c>
      <c r="N34" s="63">
        <f>'SALES SUMMARY'!BR47</f>
        <v>1070</v>
      </c>
      <c r="O34" s="63">
        <f>'SALES SUMMARY'!BR50</f>
        <v>885</v>
      </c>
      <c r="P34" s="63">
        <f>'SALES SUMMARY'!BR53</f>
        <v>0</v>
      </c>
      <c r="Q34" s="63">
        <f>'SALES SUMMARY'!BR56</f>
        <v>1050</v>
      </c>
      <c r="R34" s="63">
        <f>'SALES SUMMARY'!BR59</f>
        <v>0</v>
      </c>
      <c r="S34" s="63">
        <f>'SALES SUMMARY'!BR62</f>
        <v>0</v>
      </c>
      <c r="T34" s="63">
        <f>'SALES SUMMARY'!BR65</f>
        <v>480</v>
      </c>
      <c r="U34" s="63">
        <f>'SALES SUMMARY'!BR68</f>
        <v>0</v>
      </c>
      <c r="V34" s="63">
        <f>'SALES SUMMARY'!BR71</f>
        <v>1585</v>
      </c>
      <c r="W34" s="63">
        <f>'SALES SUMMARY'!BR74</f>
        <v>435</v>
      </c>
      <c r="X34" s="63">
        <f>'SALES SUMMARY'!BR77</f>
        <v>528</v>
      </c>
      <c r="Y34" s="63">
        <f>'SALES SUMMARY'!BR80</f>
        <v>0</v>
      </c>
      <c r="Z34" s="63">
        <f>'SALES SUMMARY'!BR83</f>
        <v>0</v>
      </c>
      <c r="AA34" s="63">
        <f>'SALES SUMMARY'!BR86</f>
        <v>155</v>
      </c>
      <c r="AB34" s="63">
        <f>'SALES SUMMARY'!BR89</f>
        <v>185</v>
      </c>
      <c r="AC34" s="63">
        <f>'SALES SUMMARY'!BR92</f>
        <v>148</v>
      </c>
      <c r="AD34" s="63">
        <f>'SALES SUMMARY'!BR95</f>
        <v>215</v>
      </c>
      <c r="AE34" s="63">
        <f>'SALES SUMMARY'!BR98</f>
        <v>1120</v>
      </c>
      <c r="AF34" s="63">
        <f>'SALES SUMMARY'!BR102</f>
        <v>0</v>
      </c>
    </row>
    <row r="36" spans="1:32">
      <c r="A36" s="58" t="s">
        <v>62</v>
      </c>
      <c r="B36" s="62">
        <f>SUM(B5:B35)-B3</f>
        <v>428.09360000000015</v>
      </c>
      <c r="C36" s="62">
        <f t="shared" ref="C36:AF36" si="0">SUM(C5:C35)-C3</f>
        <v>0</v>
      </c>
      <c r="D36" s="62">
        <f t="shared" si="0"/>
        <v>0</v>
      </c>
      <c r="E36" s="62">
        <f t="shared" si="0"/>
        <v>416.11679999999615</v>
      </c>
      <c r="F36" s="62">
        <f t="shared" si="0"/>
        <v>-39400.93</v>
      </c>
      <c r="G36" s="62">
        <f t="shared" si="0"/>
        <v>395.14639999999781</v>
      </c>
      <c r="H36" s="62">
        <f t="shared" si="0"/>
        <v>523.02799999999479</v>
      </c>
      <c r="I36" s="62">
        <f t="shared" si="0"/>
        <v>464.34959999997227</v>
      </c>
      <c r="J36" s="62">
        <f t="shared" si="0"/>
        <v>-35</v>
      </c>
      <c r="K36" s="62">
        <f t="shared" si="0"/>
        <v>0</v>
      </c>
      <c r="L36" s="62">
        <f t="shared" si="0"/>
        <v>439.44560000000092</v>
      </c>
      <c r="M36" s="62">
        <f t="shared" si="0"/>
        <v>0</v>
      </c>
      <c r="N36" s="62">
        <f t="shared" si="0"/>
        <v>506.77439999999842</v>
      </c>
      <c r="O36" s="62">
        <f t="shared" si="0"/>
        <v>299.26159999999072</v>
      </c>
      <c r="P36" s="62">
        <f t="shared" si="0"/>
        <v>0</v>
      </c>
      <c r="Q36" s="62">
        <f t="shared" si="0"/>
        <v>0</v>
      </c>
      <c r="R36" s="62">
        <f t="shared" si="0"/>
        <v>0</v>
      </c>
      <c r="S36" s="62">
        <f t="shared" si="0"/>
        <v>464.00119999999879</v>
      </c>
      <c r="T36" s="62">
        <f t="shared" si="0"/>
        <v>511.02479999999923</v>
      </c>
      <c r="U36" s="62">
        <f t="shared" si="0"/>
        <v>440.29920000000129</v>
      </c>
      <c r="V36" s="62">
        <f t="shared" si="0"/>
        <v>375.82159999998839</v>
      </c>
      <c r="W36" s="62">
        <f t="shared" si="0"/>
        <v>293.45359999999346</v>
      </c>
      <c r="X36" s="62">
        <f t="shared" si="0"/>
        <v>164.33999999999833</v>
      </c>
      <c r="Y36" s="62">
        <f t="shared" si="0"/>
        <v>0</v>
      </c>
      <c r="Z36" s="62" t="e">
        <f t="shared" si="0"/>
        <v>#VALUE!</v>
      </c>
      <c r="AA36" s="62">
        <f t="shared" si="0"/>
        <v>892.36000000000058</v>
      </c>
      <c r="AB36" s="62">
        <f t="shared" si="0"/>
        <v>737.05280000000494</v>
      </c>
      <c r="AC36" s="62">
        <f t="shared" si="0"/>
        <v>566.65840000000026</v>
      </c>
      <c r="AD36" s="62">
        <f t="shared" si="0"/>
        <v>648.94719999999506</v>
      </c>
      <c r="AE36" s="62">
        <f t="shared" si="0"/>
        <v>204.78159999999752</v>
      </c>
      <c r="AF36" s="62">
        <f t="shared" si="0"/>
        <v>0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4"/>
  <sheetViews>
    <sheetView topLeftCell="A4" zoomScaleSheetLayoutView="85" workbookViewId="0">
      <selection activeCell="H46" sqref="H46"/>
    </sheetView>
  </sheetViews>
  <sheetFormatPr defaultRowHeight="12.75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>
      <c r="A3" s="74" t="s">
        <v>148</v>
      </c>
      <c r="B3" s="72"/>
      <c r="C3" s="72"/>
      <c r="D3" s="72"/>
      <c r="E3" s="72"/>
      <c r="F3" s="72"/>
      <c r="I3" s="74" t="s">
        <v>149</v>
      </c>
      <c r="J3" s="72"/>
      <c r="K3" s="72"/>
      <c r="L3" s="72"/>
      <c r="M3" s="72"/>
      <c r="N3" s="72"/>
    </row>
    <row r="4" spans="1:15" ht="13.5" thickBot="1"/>
    <row r="5" spans="1:15" ht="13.5" customHeight="1" thickTop="1">
      <c r="A5" s="215" t="s">
        <v>2</v>
      </c>
      <c r="B5" s="209" t="s">
        <v>3</v>
      </c>
      <c r="C5" s="209" t="s">
        <v>71</v>
      </c>
      <c r="D5" s="211" t="s">
        <v>29</v>
      </c>
      <c r="E5" s="212"/>
      <c r="F5" s="213" t="s">
        <v>72</v>
      </c>
      <c r="I5" s="215" t="s">
        <v>2</v>
      </c>
      <c r="J5" s="209" t="s">
        <v>3</v>
      </c>
      <c r="K5" s="209" t="s">
        <v>71</v>
      </c>
      <c r="L5" s="211" t="s">
        <v>29</v>
      </c>
      <c r="M5" s="212"/>
      <c r="N5" s="213" t="s">
        <v>73</v>
      </c>
    </row>
    <row r="6" spans="1:15" ht="26.25" thickBot="1">
      <c r="A6" s="216"/>
      <c r="B6" s="210"/>
      <c r="C6" s="210"/>
      <c r="D6" s="76" t="s">
        <v>74</v>
      </c>
      <c r="E6" s="76" t="s">
        <v>75</v>
      </c>
      <c r="F6" s="214"/>
      <c r="I6" s="216"/>
      <c r="J6" s="210"/>
      <c r="K6" s="210"/>
      <c r="L6" s="76" t="s">
        <v>74</v>
      </c>
      <c r="M6" s="76" t="s">
        <v>75</v>
      </c>
      <c r="N6" s="214"/>
    </row>
    <row r="7" spans="1:15" ht="13.5" thickTop="1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>
      <c r="A8" s="207">
        <v>42339</v>
      </c>
      <c r="B8" s="79" t="s">
        <v>43</v>
      </c>
      <c r="C8" s="80">
        <f>+'SALES SUMMARY'!AF9</f>
        <v>1730.91</v>
      </c>
      <c r="D8" s="81">
        <f>(C8*0.8)*0.85</f>
        <v>1177.0188000000001</v>
      </c>
      <c r="E8" s="81">
        <f>(C8*0.8)*0.15</f>
        <v>207.70920000000001</v>
      </c>
      <c r="F8" s="82">
        <f>C8*0.2</f>
        <v>346.18200000000002</v>
      </c>
      <c r="I8" s="207">
        <v>42354</v>
      </c>
      <c r="J8" s="79" t="s">
        <v>43</v>
      </c>
      <c r="K8" s="80">
        <f>+'SALES SUMMARY'!AF54</f>
        <v>0</v>
      </c>
      <c r="L8" s="81">
        <f>(K8*0.8)*0.85</f>
        <v>0</v>
      </c>
      <c r="M8" s="81">
        <f>(K8*0.8)*0.15</f>
        <v>0</v>
      </c>
      <c r="N8" s="82">
        <f>K8*0.2</f>
        <v>0</v>
      </c>
      <c r="O8" s="81"/>
    </row>
    <row r="9" spans="1:15" ht="13.5" thickBot="1">
      <c r="A9" s="208"/>
      <c r="B9" s="83" t="s">
        <v>44</v>
      </c>
      <c r="C9" s="80">
        <f>+'SALES SUMMARY'!AF10</f>
        <v>2006.39</v>
      </c>
      <c r="D9" s="81">
        <f>(C9*0.8)*0.85</f>
        <v>1364.3452</v>
      </c>
      <c r="E9" s="81">
        <f>(C9*0.8)*0.15</f>
        <v>240.76679999999999</v>
      </c>
      <c r="F9" s="82">
        <f>C9*0.2</f>
        <v>401.27800000000002</v>
      </c>
      <c r="I9" s="208"/>
      <c r="J9" s="83" t="s">
        <v>44</v>
      </c>
      <c r="K9" s="80">
        <f>+'SALES SUMMARY'!AF55</f>
        <v>485.27</v>
      </c>
      <c r="L9" s="81">
        <f>(K9*0.8)*0.85</f>
        <v>329.98360000000002</v>
      </c>
      <c r="M9" s="81">
        <f>(K9*0.8)*0.15</f>
        <v>58.232399999999998</v>
      </c>
      <c r="N9" s="82">
        <f>K9*0.2</f>
        <v>97.054000000000002</v>
      </c>
    </row>
    <row r="10" spans="1:15" ht="13.5" thickBot="1">
      <c r="A10" s="126"/>
      <c r="B10" s="84"/>
      <c r="C10" s="85">
        <f>+C9+C8</f>
        <v>3737.3</v>
      </c>
      <c r="D10" s="86">
        <f>+D9+D8</f>
        <v>2541.364</v>
      </c>
      <c r="E10" s="86">
        <f>+E9+E8</f>
        <v>448.476</v>
      </c>
      <c r="F10" s="87">
        <f>+F9+F8</f>
        <v>747.46</v>
      </c>
      <c r="I10" s="126"/>
      <c r="J10" s="84"/>
      <c r="K10" s="85">
        <f>+K9+K8</f>
        <v>485.27</v>
      </c>
      <c r="L10" s="86">
        <f>+L9+L8</f>
        <v>329.98360000000002</v>
      </c>
      <c r="M10" s="86">
        <f>+M9+M8</f>
        <v>58.232399999999998</v>
      </c>
      <c r="N10" s="87">
        <f>+N9+N8</f>
        <v>97.054000000000002</v>
      </c>
    </row>
    <row r="11" spans="1:15">
      <c r="A11" s="207">
        <f>+A8+1</f>
        <v>42340</v>
      </c>
      <c r="B11" s="83"/>
      <c r="C11" s="80">
        <f>+'SALES SUMMARY'!AF12</f>
        <v>0</v>
      </c>
      <c r="D11" s="81">
        <f>(C11*0.8)*0.85</f>
        <v>0</v>
      </c>
      <c r="E11" s="81">
        <f>(C11*0.8)*0.15</f>
        <v>0</v>
      </c>
      <c r="F11" s="82">
        <f>C11*0.2</f>
        <v>0</v>
      </c>
      <c r="I11" s="123">
        <f>+I8+1</f>
        <v>42355</v>
      </c>
      <c r="J11" s="83"/>
      <c r="K11" s="80">
        <f>+'SALES SUMMARY'!AF57</f>
        <v>0</v>
      </c>
      <c r="L11" s="81">
        <f>(K11*0.8)*0.85</f>
        <v>0</v>
      </c>
      <c r="M11" s="81">
        <f>(K11*0.8)*0.15</f>
        <v>0</v>
      </c>
      <c r="N11" s="82">
        <f>K11*0.2</f>
        <v>0</v>
      </c>
    </row>
    <row r="12" spans="1:15" ht="13.5" thickBot="1">
      <c r="A12" s="208"/>
      <c r="B12" s="83"/>
      <c r="C12" s="80">
        <f>+'SALES SUMMARY'!AF13</f>
        <v>514.03</v>
      </c>
      <c r="D12" s="81">
        <f>(C12*0.8)*0.85</f>
        <v>349.54039999999998</v>
      </c>
      <c r="E12" s="81">
        <f>(C12*0.8)*0.15</f>
        <v>61.683599999999998</v>
      </c>
      <c r="F12" s="82">
        <f>C12*0.2</f>
        <v>102.806</v>
      </c>
      <c r="I12" s="124"/>
      <c r="J12" s="83"/>
      <c r="K12" s="80">
        <f>+'SALES SUMMARY'!AF58</f>
        <v>0</v>
      </c>
      <c r="L12" s="81">
        <f>(K12*0.8)*0.85</f>
        <v>0</v>
      </c>
      <c r="M12" s="81">
        <f>(K12*0.8)*0.15</f>
        <v>0</v>
      </c>
      <c r="N12" s="82">
        <f>K12*0.2</f>
        <v>0</v>
      </c>
    </row>
    <row r="13" spans="1:15" ht="13.5" thickBot="1">
      <c r="A13" s="126"/>
      <c r="B13" s="84"/>
      <c r="C13" s="85">
        <f>+C12+C11</f>
        <v>514.03</v>
      </c>
      <c r="D13" s="86">
        <f>+D12+D11</f>
        <v>349.54039999999998</v>
      </c>
      <c r="E13" s="86">
        <f>+E12+E11</f>
        <v>61.683599999999998</v>
      </c>
      <c r="F13" s="87">
        <f>+F12+F11</f>
        <v>102.806</v>
      </c>
      <c r="I13" s="126"/>
      <c r="J13" s="84"/>
      <c r="K13" s="85">
        <f>+K12+K11</f>
        <v>0</v>
      </c>
      <c r="L13" s="86">
        <f>+L12+L11</f>
        <v>0</v>
      </c>
      <c r="M13" s="86">
        <f>+M12+M11</f>
        <v>0</v>
      </c>
      <c r="N13" s="87">
        <f>+N12+N11</f>
        <v>0</v>
      </c>
    </row>
    <row r="14" spans="1:15">
      <c r="A14" s="207">
        <f>+A11+1</f>
        <v>42341</v>
      </c>
      <c r="B14" s="83"/>
      <c r="C14" s="80">
        <f>+'SALES SUMMARY'!AF15</f>
        <v>0</v>
      </c>
      <c r="D14" s="81">
        <f>(C14*0.8)*0.85</f>
        <v>0</v>
      </c>
      <c r="E14" s="81">
        <f>(C14*0.8)*0.15</f>
        <v>0</v>
      </c>
      <c r="F14" s="82">
        <f>C14*0.2</f>
        <v>0</v>
      </c>
      <c r="I14" s="123">
        <f>+I11+1</f>
        <v>42356</v>
      </c>
      <c r="J14" s="83"/>
      <c r="K14" s="80">
        <f>+'SALES SUMMARY'!AF60</f>
        <v>804.72</v>
      </c>
      <c r="L14" s="81">
        <f>(K14*0.8)*0.85</f>
        <v>547.20960000000002</v>
      </c>
      <c r="M14" s="81">
        <f>(K14*0.8)*0.15</f>
        <v>96.566400000000002</v>
      </c>
      <c r="N14" s="82">
        <f>K14*0.2</f>
        <v>160.94400000000002</v>
      </c>
    </row>
    <row r="15" spans="1:15" ht="13.5" thickBot="1">
      <c r="A15" s="208"/>
      <c r="B15" s="83"/>
      <c r="C15" s="80">
        <f>+'SALES SUMMARY'!AF16</f>
        <v>0</v>
      </c>
      <c r="D15" s="81">
        <f>(C15*0.8)*0.85</f>
        <v>0</v>
      </c>
      <c r="E15" s="81">
        <f>(C15*0.8)*0.15</f>
        <v>0</v>
      </c>
      <c r="F15" s="82">
        <f>C15*0.2</f>
        <v>0</v>
      </c>
      <c r="I15" s="124"/>
      <c r="J15" s="83"/>
      <c r="K15" s="80">
        <f>+'SALES SUMMARY'!AF61</f>
        <v>1051.6300000000001</v>
      </c>
      <c r="L15" s="81">
        <f>(K15*0.8)*0.85</f>
        <v>715.10840000000007</v>
      </c>
      <c r="M15" s="81">
        <f>(K15*0.8)*0.15</f>
        <v>126.19560000000001</v>
      </c>
      <c r="N15" s="82">
        <f>K15*0.2</f>
        <v>210.32600000000002</v>
      </c>
    </row>
    <row r="16" spans="1:15" ht="13.5" thickBot="1">
      <c r="A16" s="127"/>
      <c r="B16" s="84"/>
      <c r="C16" s="85">
        <f>+C15+C14</f>
        <v>0</v>
      </c>
      <c r="D16" s="86">
        <f>+D15+D14</f>
        <v>0</v>
      </c>
      <c r="E16" s="86">
        <f>+E15+E14</f>
        <v>0</v>
      </c>
      <c r="F16" s="87">
        <f>+F15+F14</f>
        <v>0</v>
      </c>
      <c r="I16" s="127"/>
      <c r="J16" s="84"/>
      <c r="K16" s="85">
        <f>+K15+K14</f>
        <v>1856.3500000000001</v>
      </c>
      <c r="L16" s="86">
        <f>+L15+L14</f>
        <v>1262.3180000000002</v>
      </c>
      <c r="M16" s="86">
        <f>+M15+M14</f>
        <v>222.762</v>
      </c>
      <c r="N16" s="87">
        <f>+N15+N14</f>
        <v>371.27000000000004</v>
      </c>
    </row>
    <row r="17" spans="1:14">
      <c r="A17" s="207">
        <f>+A14+1</f>
        <v>42342</v>
      </c>
      <c r="B17" s="83"/>
      <c r="C17" s="80">
        <f>+'SALES SUMMARY'!AF18</f>
        <v>1083.8</v>
      </c>
      <c r="D17" s="81">
        <f>(C17*0.8)*0.85</f>
        <v>736.98399999999992</v>
      </c>
      <c r="E17" s="81">
        <f>(C17*0.8)*0.15</f>
        <v>130.05599999999998</v>
      </c>
      <c r="F17" s="82">
        <f>C17*0.2</f>
        <v>216.76</v>
      </c>
      <c r="I17" s="123">
        <f>+I14+1</f>
        <v>42357</v>
      </c>
      <c r="J17" s="83"/>
      <c r="K17" s="80">
        <f>+'SALES SUMMARY'!AF63</f>
        <v>962.69</v>
      </c>
      <c r="L17" s="81">
        <f>(K17*0.8)*0.85</f>
        <v>654.62919999999997</v>
      </c>
      <c r="M17" s="81">
        <f>(K17*0.8)*0.15</f>
        <v>115.5228</v>
      </c>
      <c r="N17" s="82">
        <f>K17*0.2</f>
        <v>192.53800000000001</v>
      </c>
    </row>
    <row r="18" spans="1:14" ht="13.5" thickBot="1">
      <c r="A18" s="208"/>
      <c r="B18" s="83"/>
      <c r="C18" s="80">
        <f>+'SALES SUMMARY'!AF19</f>
        <v>717.45</v>
      </c>
      <c r="D18" s="81">
        <f>(C18*0.8)*0.85</f>
        <v>487.86600000000004</v>
      </c>
      <c r="E18" s="81">
        <f>(C18*0.8)*0.15</f>
        <v>86.094000000000008</v>
      </c>
      <c r="F18" s="82">
        <f>C18*0.2</f>
        <v>143.49</v>
      </c>
      <c r="I18" s="124"/>
      <c r="J18" s="83"/>
      <c r="K18" s="80">
        <f>+'SALES SUMMARY'!AF64</f>
        <v>946.69</v>
      </c>
      <c r="L18" s="81">
        <f>(K18*0.8)*0.85</f>
        <v>643.74920000000009</v>
      </c>
      <c r="M18" s="81">
        <f>(K18*0.8)*0.15</f>
        <v>113.60280000000002</v>
      </c>
      <c r="N18" s="82">
        <f>K18*0.2</f>
        <v>189.33800000000002</v>
      </c>
    </row>
    <row r="19" spans="1:14" ht="13.5" thickBot="1">
      <c r="A19" s="127"/>
      <c r="B19" s="84"/>
      <c r="C19" s="85">
        <f>+C18+C17</f>
        <v>1801.25</v>
      </c>
      <c r="D19" s="86">
        <f>+D18+D17</f>
        <v>1224.8499999999999</v>
      </c>
      <c r="E19" s="86">
        <f>+E18+E17</f>
        <v>216.14999999999998</v>
      </c>
      <c r="F19" s="87">
        <f>+F18+F17</f>
        <v>360.25</v>
      </c>
      <c r="I19" s="127"/>
      <c r="J19" s="84"/>
      <c r="K19" s="85">
        <f>+K18+K17</f>
        <v>1909.38</v>
      </c>
      <c r="L19" s="86">
        <f>+L18+L17</f>
        <v>1298.3784000000001</v>
      </c>
      <c r="M19" s="86">
        <f>+M18+M17</f>
        <v>229.12560000000002</v>
      </c>
      <c r="N19" s="87">
        <f>+N18+N17</f>
        <v>381.87600000000003</v>
      </c>
    </row>
    <row r="20" spans="1:14">
      <c r="A20" s="207">
        <f>+A17+1</f>
        <v>42343</v>
      </c>
      <c r="B20" s="83"/>
      <c r="C20" s="80">
        <f>+'SALES SUMMARY'!AF21</f>
        <v>1726.31</v>
      </c>
      <c r="D20" s="81">
        <f>(C20*0.8)*0.85</f>
        <v>1173.8907999999999</v>
      </c>
      <c r="E20" s="81">
        <f>(C20*0.8)*0.15</f>
        <v>207.15719999999999</v>
      </c>
      <c r="F20" s="82">
        <f>C20*0.2</f>
        <v>345.262</v>
      </c>
      <c r="I20" s="123">
        <f>+I17+1</f>
        <v>42358</v>
      </c>
      <c r="J20" s="83"/>
      <c r="K20" s="80">
        <f>+'SALES SUMMARY'!AF66</f>
        <v>1912.09</v>
      </c>
      <c r="L20" s="81">
        <f>(K20*0.8)*0.85</f>
        <v>1300.2212</v>
      </c>
      <c r="M20" s="81">
        <f>(K20*0.8)*0.15</f>
        <v>229.45079999999999</v>
      </c>
      <c r="N20" s="82">
        <f>K20*0.2</f>
        <v>382.41800000000001</v>
      </c>
    </row>
    <row r="21" spans="1:14" ht="13.5" thickBot="1">
      <c r="A21" s="208"/>
      <c r="B21" s="83"/>
      <c r="C21" s="80">
        <f>+'SALES SUMMARY'!AF22</f>
        <v>1485.06</v>
      </c>
      <c r="D21" s="81">
        <f>(C21*0.8)*0.85</f>
        <v>1009.8407999999999</v>
      </c>
      <c r="E21" s="81">
        <f>(C21*0.8)*0.15</f>
        <v>178.2072</v>
      </c>
      <c r="F21" s="82">
        <f>C21*0.2</f>
        <v>297.012</v>
      </c>
      <c r="I21" s="124"/>
      <c r="J21" s="83"/>
      <c r="K21" s="80">
        <f>+'SALES SUMMARY'!AF67</f>
        <v>1499.9</v>
      </c>
      <c r="L21" s="81">
        <f>(K21*0.8)*0.85</f>
        <v>1019.932</v>
      </c>
      <c r="M21" s="81">
        <f>(K21*0.8)*0.15</f>
        <v>179.988</v>
      </c>
      <c r="N21" s="82">
        <f>K21*0.2</f>
        <v>299.98</v>
      </c>
    </row>
    <row r="22" spans="1:14" ht="13.5" thickBot="1">
      <c r="A22" s="127"/>
      <c r="B22" s="84"/>
      <c r="C22" s="85">
        <f>+C21+C20</f>
        <v>3211.37</v>
      </c>
      <c r="D22" s="86">
        <f>+D21+D20</f>
        <v>2183.7316000000001</v>
      </c>
      <c r="E22" s="86">
        <f>+E21+E20</f>
        <v>385.36439999999999</v>
      </c>
      <c r="F22" s="87">
        <f>+F21+F20</f>
        <v>642.274</v>
      </c>
      <c r="I22" s="127"/>
      <c r="J22" s="84"/>
      <c r="K22" s="85">
        <f>+K21+K20</f>
        <v>3411.99</v>
      </c>
      <c r="L22" s="86">
        <f>+L21+L20</f>
        <v>2320.1531999999997</v>
      </c>
      <c r="M22" s="86">
        <f>+M21+M20</f>
        <v>409.43880000000001</v>
      </c>
      <c r="N22" s="87">
        <f>+N21+N20</f>
        <v>682.39800000000002</v>
      </c>
    </row>
    <row r="23" spans="1:14">
      <c r="A23" s="207">
        <f>+A20+1</f>
        <v>42344</v>
      </c>
      <c r="B23" s="83"/>
      <c r="C23" s="80">
        <f>+'SALES SUMMARY'!AF24</f>
        <v>1481.99</v>
      </c>
      <c r="D23" s="81">
        <f>(C23*0.8)*0.85</f>
        <v>1007.7532000000001</v>
      </c>
      <c r="E23" s="81">
        <f>(C23*0.8)*0.15</f>
        <v>177.83880000000002</v>
      </c>
      <c r="F23" s="82">
        <f>C23*0.2</f>
        <v>296.39800000000002</v>
      </c>
      <c r="I23" s="123">
        <f>+I20+1</f>
        <v>42359</v>
      </c>
      <c r="J23" s="83"/>
      <c r="K23" s="80">
        <f>+'SALES SUMMARY'!AF69</f>
        <v>1859.4</v>
      </c>
      <c r="L23" s="81">
        <f>(K23*0.8)*0.85</f>
        <v>1264.3920000000001</v>
      </c>
      <c r="M23" s="81">
        <f>(K23*0.8)*0.15</f>
        <v>223.12800000000001</v>
      </c>
      <c r="N23" s="82">
        <f>K23*0.2</f>
        <v>371.88000000000005</v>
      </c>
    </row>
    <row r="24" spans="1:14" ht="13.5" thickBot="1">
      <c r="A24" s="208"/>
      <c r="B24" s="83"/>
      <c r="C24" s="80">
        <f>+'SALES SUMMARY'!AF25</f>
        <v>983.94</v>
      </c>
      <c r="D24" s="81">
        <f>(C24*0.8)*0.85</f>
        <v>669.07920000000001</v>
      </c>
      <c r="E24" s="81">
        <f>(C24*0.8)*0.15</f>
        <v>118.0728</v>
      </c>
      <c r="F24" s="82">
        <f>C24*0.2</f>
        <v>196.78800000000001</v>
      </c>
      <c r="I24" s="124"/>
      <c r="J24" s="83"/>
      <c r="K24" s="80">
        <f>+'SALES SUMMARY'!AF70</f>
        <v>1331.47</v>
      </c>
      <c r="L24" s="81">
        <f>(K24*0.8)*0.85</f>
        <v>905.39960000000008</v>
      </c>
      <c r="M24" s="81">
        <f>(K24*0.8)*0.15</f>
        <v>159.77640000000002</v>
      </c>
      <c r="N24" s="82">
        <f>K24*0.2</f>
        <v>266.29400000000004</v>
      </c>
    </row>
    <row r="25" spans="1:14" ht="13.5" thickBot="1">
      <c r="A25" s="127"/>
      <c r="B25" s="84"/>
      <c r="C25" s="85">
        <f>+C24+C23</f>
        <v>2465.9300000000003</v>
      </c>
      <c r="D25" s="86">
        <f>+D24+D23</f>
        <v>1676.8324000000002</v>
      </c>
      <c r="E25" s="86">
        <f>+E24+E23</f>
        <v>295.91160000000002</v>
      </c>
      <c r="F25" s="87">
        <f>+F24+F23</f>
        <v>493.18600000000004</v>
      </c>
      <c r="G25" s="128"/>
      <c r="I25" s="127"/>
      <c r="J25" s="84"/>
      <c r="K25" s="85">
        <f>+K24+K23</f>
        <v>3190.87</v>
      </c>
      <c r="L25" s="86">
        <f>+L24+L23</f>
        <v>2169.7916</v>
      </c>
      <c r="M25" s="86">
        <f>+M24+M23</f>
        <v>382.90440000000001</v>
      </c>
      <c r="N25" s="87">
        <f>+N24+N23</f>
        <v>638.17400000000009</v>
      </c>
    </row>
    <row r="26" spans="1:14">
      <c r="A26" s="207">
        <f>+A23+1</f>
        <v>42345</v>
      </c>
      <c r="B26" s="83"/>
      <c r="C26" s="80">
        <f>+'SALES SUMMARY'!AF27</f>
        <v>1927.23</v>
      </c>
      <c r="D26" s="81">
        <f>(C26*0.8)*0.85</f>
        <v>1310.5164</v>
      </c>
      <c r="E26" s="81">
        <f>(C26*0.8)*0.15</f>
        <v>231.26760000000002</v>
      </c>
      <c r="F26" s="82">
        <f>C26*0.2</f>
        <v>385.44600000000003</v>
      </c>
      <c r="I26" s="123">
        <f>+I23+1</f>
        <v>42360</v>
      </c>
      <c r="J26" s="83"/>
      <c r="K26" s="80">
        <f>+'SALES SUMMARY'!AF72</f>
        <v>1866.23</v>
      </c>
      <c r="L26" s="81">
        <f>(K26*0.8)*0.85</f>
        <v>1269.0364000000002</v>
      </c>
      <c r="M26" s="81">
        <f>(K26*0.8)*0.15</f>
        <v>223.94760000000002</v>
      </c>
      <c r="N26" s="82">
        <f>K26*0.2</f>
        <v>373.24600000000004</v>
      </c>
    </row>
    <row r="27" spans="1:14" ht="13.5" thickBot="1">
      <c r="A27" s="208"/>
      <c r="B27" s="83"/>
      <c r="C27" s="80">
        <f>+'SALES SUMMARY'!AF28</f>
        <v>961.31</v>
      </c>
      <c r="D27" s="81">
        <f>(C27*0.8)*0.85</f>
        <v>653.69079999999997</v>
      </c>
      <c r="E27" s="81">
        <f>(C27*0.8)*0.15</f>
        <v>115.35719999999999</v>
      </c>
      <c r="F27" s="82">
        <f>C27*0.2</f>
        <v>192.262</v>
      </c>
      <c r="I27" s="124"/>
      <c r="J27" s="83"/>
      <c r="K27" s="80">
        <f>+'SALES SUMMARY'!AF73</f>
        <v>1423.2</v>
      </c>
      <c r="L27" s="81">
        <f>(K27*0.8)*0.85</f>
        <v>967.77600000000007</v>
      </c>
      <c r="M27" s="81">
        <f>(K27*0.8)*0.15</f>
        <v>170.78400000000002</v>
      </c>
      <c r="N27" s="82">
        <f>K27*0.2</f>
        <v>284.64000000000004</v>
      </c>
    </row>
    <row r="28" spans="1:14" ht="13.5" thickBot="1">
      <c r="A28" s="127"/>
      <c r="B28" s="84"/>
      <c r="C28" s="85">
        <f>+C27+C26</f>
        <v>2888.54</v>
      </c>
      <c r="D28" s="86">
        <f>+D27+D26</f>
        <v>1964.2071999999998</v>
      </c>
      <c r="E28" s="86">
        <f>+E27+E26</f>
        <v>346.62479999999999</v>
      </c>
      <c r="F28" s="87">
        <f>+F27+F26</f>
        <v>577.70800000000008</v>
      </c>
      <c r="I28" s="127"/>
      <c r="J28" s="84"/>
      <c r="K28" s="85">
        <f>+K27+K26</f>
        <v>3289.4300000000003</v>
      </c>
      <c r="L28" s="86">
        <f>+L27+L26</f>
        <v>2236.8124000000003</v>
      </c>
      <c r="M28" s="86">
        <f>+M27+M26</f>
        <v>394.73160000000007</v>
      </c>
      <c r="N28" s="87">
        <f>+N27+N26</f>
        <v>657.88600000000008</v>
      </c>
    </row>
    <row r="29" spans="1:14">
      <c r="A29" s="207">
        <f>+A26+1</f>
        <v>42346</v>
      </c>
      <c r="B29" s="83"/>
      <c r="C29" s="80">
        <f>+'SALES SUMMARY'!AF30</f>
        <v>1779.4</v>
      </c>
      <c r="D29" s="81">
        <f>(C29*0.8)*0.85</f>
        <v>1209.9920000000002</v>
      </c>
      <c r="E29" s="81">
        <f>(C29*0.8)*0.15</f>
        <v>213.52800000000002</v>
      </c>
      <c r="F29" s="82">
        <f>C29*0.2</f>
        <v>355.88000000000005</v>
      </c>
      <c r="I29" s="123">
        <f>+I26+1</f>
        <v>42361</v>
      </c>
      <c r="J29" s="83"/>
      <c r="K29" s="80">
        <f>+'SALES SUMMARY'!AF75</f>
        <v>0</v>
      </c>
      <c r="L29" s="81">
        <f>(K29*0.8)*0.85</f>
        <v>0</v>
      </c>
      <c r="M29" s="81">
        <f>(K29*0.8)*0.15</f>
        <v>0</v>
      </c>
      <c r="N29" s="82">
        <f>K29*0.2</f>
        <v>0</v>
      </c>
    </row>
    <row r="30" spans="1:14" ht="13.5" thickBot="1">
      <c r="A30" s="208"/>
      <c r="B30" s="83"/>
      <c r="C30" s="80">
        <f>+'SALES SUMMARY'!AF31</f>
        <v>4422</v>
      </c>
      <c r="D30" s="81">
        <f>(C30*0.8)*0.85</f>
        <v>3006.96</v>
      </c>
      <c r="E30" s="81">
        <f>(C30*0.8)*0.15</f>
        <v>530.64</v>
      </c>
      <c r="F30" s="82">
        <f>C30*0.2</f>
        <v>884.40000000000009</v>
      </c>
      <c r="I30" s="124"/>
      <c r="J30" s="83"/>
      <c r="K30" s="80">
        <f>+'SALES SUMMARY'!AF76</f>
        <v>657.44</v>
      </c>
      <c r="L30" s="81">
        <f>(K30*0.8)*0.85</f>
        <v>447.05920000000009</v>
      </c>
      <c r="M30" s="81">
        <f>(K30*0.8)*0.15</f>
        <v>78.892800000000008</v>
      </c>
      <c r="N30" s="82">
        <f>K30*0.2</f>
        <v>131.48800000000003</v>
      </c>
    </row>
    <row r="31" spans="1:14" ht="13.5" thickBot="1">
      <c r="A31" s="127"/>
      <c r="B31" s="84"/>
      <c r="C31" s="85">
        <f>+C30+C29</f>
        <v>6201.4</v>
      </c>
      <c r="D31" s="86">
        <f>+D30+D29</f>
        <v>4216.9520000000002</v>
      </c>
      <c r="E31" s="86">
        <f>+E30+E29</f>
        <v>744.16800000000001</v>
      </c>
      <c r="F31" s="87">
        <f>+F30+F29</f>
        <v>1240.2800000000002</v>
      </c>
      <c r="I31" s="127"/>
      <c r="J31" s="84"/>
      <c r="K31" s="85">
        <f>+K30+K29</f>
        <v>657.44</v>
      </c>
      <c r="L31" s="86">
        <f>+L30+L29</f>
        <v>447.05920000000009</v>
      </c>
      <c r="M31" s="86">
        <f>+M30+M29</f>
        <v>78.892800000000008</v>
      </c>
      <c r="N31" s="87">
        <f>+N30+N29</f>
        <v>131.48800000000003</v>
      </c>
    </row>
    <row r="32" spans="1:14">
      <c r="A32" s="207">
        <f>+A29+1</f>
        <v>42347</v>
      </c>
      <c r="B32" s="83"/>
      <c r="C32" s="80">
        <f>+'SALES SUMMARY'!AF33</f>
        <v>0</v>
      </c>
      <c r="D32" s="81">
        <f>(C32*0.8)*0.85</f>
        <v>0</v>
      </c>
      <c r="E32" s="81">
        <f>(C32*0.8)*0.15</f>
        <v>0</v>
      </c>
      <c r="F32" s="82">
        <f>C32*0.2</f>
        <v>0</v>
      </c>
      <c r="I32" s="123">
        <f>+I29+1</f>
        <v>42362</v>
      </c>
      <c r="J32" s="83"/>
      <c r="K32" s="80">
        <f>+'SALES SUMMARY'!AF78</f>
        <v>0</v>
      </c>
      <c r="L32" s="81">
        <f>(K32*0.8)*0.85</f>
        <v>0</v>
      </c>
      <c r="M32" s="81">
        <f>(K32*0.8)*0.15</f>
        <v>0</v>
      </c>
      <c r="N32" s="82">
        <f>K32*0.2</f>
        <v>0</v>
      </c>
    </row>
    <row r="33" spans="1:18" ht="13.5" thickBot="1">
      <c r="A33" s="208"/>
      <c r="B33" s="83"/>
      <c r="C33" s="80">
        <f>+'SALES SUMMARY'!AF34</f>
        <v>345.19</v>
      </c>
      <c r="D33" s="81">
        <f>(C33*0.8)*0.85</f>
        <v>234.72919999999999</v>
      </c>
      <c r="E33" s="81">
        <f>(C33*0.8)*0.15</f>
        <v>41.422799999999995</v>
      </c>
      <c r="F33" s="82">
        <f>C33*0.2</f>
        <v>69.037999999999997</v>
      </c>
      <c r="I33" s="124"/>
      <c r="J33" s="83"/>
      <c r="K33" s="80">
        <f>+'SALES SUMMARY'!AF79</f>
        <v>0</v>
      </c>
      <c r="L33" s="81">
        <f>(K33*0.8)*0.85</f>
        <v>0</v>
      </c>
      <c r="M33" s="81">
        <f>(K33*0.8)*0.15</f>
        <v>0</v>
      </c>
      <c r="N33" s="82">
        <f>K33*0.2</f>
        <v>0</v>
      </c>
    </row>
    <row r="34" spans="1:18" ht="13.5" thickBot="1">
      <c r="A34" s="127"/>
      <c r="B34" s="84"/>
      <c r="C34" s="85">
        <f>+C33+C32</f>
        <v>345.19</v>
      </c>
      <c r="D34" s="86">
        <f>+D33+D32</f>
        <v>234.72919999999999</v>
      </c>
      <c r="E34" s="86">
        <f>+E33+E32</f>
        <v>41.422799999999995</v>
      </c>
      <c r="F34" s="87">
        <f>+F33+F32</f>
        <v>69.037999999999997</v>
      </c>
      <c r="G34" s="128"/>
      <c r="I34" s="127"/>
      <c r="J34" s="84"/>
      <c r="K34" s="85">
        <f>+K33+K32</f>
        <v>0</v>
      </c>
      <c r="L34" s="86">
        <f>+L33+L32</f>
        <v>0</v>
      </c>
      <c r="M34" s="86">
        <f>+M33+M32</f>
        <v>0</v>
      </c>
      <c r="N34" s="87">
        <f>+N33+N32</f>
        <v>0</v>
      </c>
    </row>
    <row r="35" spans="1:18">
      <c r="A35" s="207">
        <f>+A32+1</f>
        <v>42348</v>
      </c>
      <c r="B35" s="83"/>
      <c r="C35" s="80">
        <f>+'SALES SUMMARY'!AF36</f>
        <v>0</v>
      </c>
      <c r="D35" s="81">
        <f>(C35*0.8)*0.85</f>
        <v>0</v>
      </c>
      <c r="E35" s="81">
        <f>(C35*0.8)*0.15</f>
        <v>0</v>
      </c>
      <c r="F35" s="82">
        <f>C35*0.2</f>
        <v>0</v>
      </c>
      <c r="I35" s="123">
        <f>+I32+1</f>
        <v>42363</v>
      </c>
      <c r="J35" s="83"/>
      <c r="K35" s="80">
        <f>+'SALES SUMMARY'!AF81</f>
        <v>699.17</v>
      </c>
      <c r="L35" s="81">
        <f>(K35*0.8)*0.85</f>
        <v>475.43560000000002</v>
      </c>
      <c r="M35" s="81">
        <f>(K35*0.8)*0.15</f>
        <v>83.900400000000005</v>
      </c>
      <c r="N35" s="82">
        <f>K35*0.2</f>
        <v>139.834</v>
      </c>
    </row>
    <row r="36" spans="1:18" ht="13.5" thickBot="1">
      <c r="A36" s="208"/>
      <c r="B36" s="83"/>
      <c r="C36" s="80">
        <f>+'SALES SUMMARY'!AF37</f>
        <v>0</v>
      </c>
      <c r="D36" s="81">
        <f>(C36*0.8)*0.85</f>
        <v>0</v>
      </c>
      <c r="E36" s="81">
        <f>(C36*0.8)*0.15</f>
        <v>0</v>
      </c>
      <c r="F36" s="82">
        <f>C36*0.2</f>
        <v>0</v>
      </c>
      <c r="I36" s="124"/>
      <c r="J36" s="83"/>
      <c r="K36" s="80">
        <f>+'SALES SUMMARY'!AF82</f>
        <v>1965.73</v>
      </c>
      <c r="L36" s="81">
        <f>(K36*0.8)*0.85</f>
        <v>1336.6964</v>
      </c>
      <c r="M36" s="81">
        <f>(K36*0.8)*0.15</f>
        <v>235.88759999999999</v>
      </c>
      <c r="N36" s="82">
        <f>K36*0.2</f>
        <v>393.14600000000002</v>
      </c>
    </row>
    <row r="37" spans="1:18" ht="13.5" thickBot="1">
      <c r="A37" s="127"/>
      <c r="B37" s="84"/>
      <c r="C37" s="85">
        <f>+C36+C35</f>
        <v>0</v>
      </c>
      <c r="D37" s="86">
        <f>+D36+D35</f>
        <v>0</v>
      </c>
      <c r="E37" s="86">
        <f>+E36+E35</f>
        <v>0</v>
      </c>
      <c r="F37" s="87">
        <f>+F36+F35</f>
        <v>0</v>
      </c>
      <c r="G37" s="128"/>
      <c r="I37" s="127"/>
      <c r="J37" s="84"/>
      <c r="K37" s="85">
        <f>+K36+K35</f>
        <v>2664.9</v>
      </c>
      <c r="L37" s="86">
        <f>+L36+L35</f>
        <v>1812.1320000000001</v>
      </c>
      <c r="M37" s="86">
        <f>+M36+M35</f>
        <v>319.78800000000001</v>
      </c>
      <c r="N37" s="87">
        <f>+N36+N35</f>
        <v>532.98</v>
      </c>
    </row>
    <row r="38" spans="1:18" ht="15">
      <c r="A38" s="207">
        <f>+A35+1</f>
        <v>42349</v>
      </c>
      <c r="B38" s="83"/>
      <c r="C38" s="80">
        <f>+'SALES SUMMARY'!AF39</f>
        <v>753.23</v>
      </c>
      <c r="D38" s="81">
        <f>(C38*0.8)*0.85</f>
        <v>512.19640000000004</v>
      </c>
      <c r="E38" s="81">
        <f>(C38*0.8)*0.15</f>
        <v>90.387600000000006</v>
      </c>
      <c r="F38" s="82">
        <f>C38*0.2</f>
        <v>150.64600000000002</v>
      </c>
      <c r="I38" s="123">
        <f>+I35+1</f>
        <v>42364</v>
      </c>
      <c r="J38" s="83"/>
      <c r="K38" s="80">
        <f>+'SALES SUMMARY'!AF84</f>
        <v>850.86</v>
      </c>
      <c r="L38" s="81">
        <f>(K38*0.8)*0.85</f>
        <v>578.58480000000009</v>
      </c>
      <c r="M38" s="81">
        <f>(K38*0.8)*0.15</f>
        <v>102.10320000000002</v>
      </c>
      <c r="N38" s="82">
        <f>K38*0.2</f>
        <v>170.17200000000003</v>
      </c>
      <c r="R38" s="129"/>
    </row>
    <row r="39" spans="1:18" ht="13.5" thickBot="1">
      <c r="A39" s="208"/>
      <c r="B39" s="83"/>
      <c r="C39" s="80">
        <f>+'SALES SUMMARY'!AF40</f>
        <v>337.77</v>
      </c>
      <c r="D39" s="81">
        <f>(C39*0.8)*0.85</f>
        <v>229.68360000000001</v>
      </c>
      <c r="E39" s="81">
        <f>(C39*0.8)*0.15</f>
        <v>40.532400000000003</v>
      </c>
      <c r="F39" s="82">
        <f>C39*0.2</f>
        <v>67.554000000000002</v>
      </c>
      <c r="I39" s="124"/>
      <c r="J39" s="83"/>
      <c r="K39" s="80">
        <f>+'SALES SUMMARY'!AF85</f>
        <v>1508.8</v>
      </c>
      <c r="L39" s="81">
        <f>(K39*0.8)*0.85</f>
        <v>1025.9839999999999</v>
      </c>
      <c r="M39" s="81">
        <f>(K39*0.8)*0.15</f>
        <v>181.05599999999998</v>
      </c>
      <c r="N39" s="82">
        <f>K39*0.2</f>
        <v>301.76</v>
      </c>
    </row>
    <row r="40" spans="1:18" ht="13.5" thickBot="1">
      <c r="A40" s="127"/>
      <c r="B40" s="84"/>
      <c r="C40" s="85">
        <f>+C39+C38</f>
        <v>1091</v>
      </c>
      <c r="D40" s="86">
        <f>+D39+D38</f>
        <v>741.88000000000011</v>
      </c>
      <c r="E40" s="86">
        <f>+E39+E38</f>
        <v>130.92000000000002</v>
      </c>
      <c r="F40" s="87">
        <f>+F39+F38</f>
        <v>218.20000000000002</v>
      </c>
      <c r="I40" s="127"/>
      <c r="J40" s="84"/>
      <c r="K40" s="85">
        <f>+K39+K38</f>
        <v>2359.66</v>
      </c>
      <c r="L40" s="86">
        <f>+L39+L38</f>
        <v>1604.5688</v>
      </c>
      <c r="M40" s="86">
        <f>+M39+M38</f>
        <v>283.1592</v>
      </c>
      <c r="N40" s="87">
        <f>+N39+N38</f>
        <v>471.93200000000002</v>
      </c>
    </row>
    <row r="41" spans="1:18">
      <c r="A41" s="207">
        <f>+A38+1</f>
        <v>42350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42365</v>
      </c>
      <c r="J41" s="79"/>
      <c r="K41" s="80">
        <f>+'SALES SUMMARY'!AF87</f>
        <v>2116.7800000000002</v>
      </c>
      <c r="L41" s="81">
        <f>(K41*0.8)*0.85</f>
        <v>1439.4104000000002</v>
      </c>
      <c r="M41" s="81">
        <f>(K41*0.8)*0.15</f>
        <v>254.01360000000003</v>
      </c>
      <c r="N41" s="82">
        <f>K41*0.2</f>
        <v>423.35600000000005</v>
      </c>
    </row>
    <row r="42" spans="1:18" ht="13.5" thickBot="1">
      <c r="A42" s="208"/>
      <c r="B42" s="83"/>
      <c r="C42" s="80">
        <f>+'SALES SUMMARY'!AF43</f>
        <v>0</v>
      </c>
      <c r="D42" s="81">
        <f>(C42*0.8)*0.85</f>
        <v>0</v>
      </c>
      <c r="E42" s="81">
        <f>(C42*0.8)*0.15</f>
        <v>0</v>
      </c>
      <c r="F42" s="82">
        <f>C42*0.2</f>
        <v>0</v>
      </c>
      <c r="I42" s="124"/>
      <c r="J42" s="83"/>
      <c r="K42" s="80">
        <f>+'SALES SUMMARY'!AF88</f>
        <v>1956.19</v>
      </c>
      <c r="L42" s="81">
        <f>(K42*0.8)*0.85</f>
        <v>1330.2092000000002</v>
      </c>
      <c r="M42" s="81">
        <f>(K42*0.8)*0.15</f>
        <v>234.74280000000002</v>
      </c>
      <c r="N42" s="82">
        <f>K42*0.2</f>
        <v>391.23800000000006</v>
      </c>
    </row>
    <row r="43" spans="1:18" ht="13.5" thickBot="1">
      <c r="A43" s="126"/>
      <c r="B43" s="84"/>
      <c r="C43" s="85">
        <f>+C42+C41</f>
        <v>0</v>
      </c>
      <c r="D43" s="86">
        <f>+D42+D41</f>
        <v>0</v>
      </c>
      <c r="E43" s="86">
        <f>+E42+E41</f>
        <v>0</v>
      </c>
      <c r="F43" s="87">
        <f>+F42+F41</f>
        <v>0</v>
      </c>
      <c r="I43" s="126"/>
      <c r="J43" s="84"/>
      <c r="K43" s="85">
        <f>+K42+K41</f>
        <v>4072.9700000000003</v>
      </c>
      <c r="L43" s="86">
        <f>+L42+L41</f>
        <v>2769.6196000000004</v>
      </c>
      <c r="M43" s="86">
        <f>+M42+M41</f>
        <v>488.75640000000004</v>
      </c>
      <c r="N43" s="87">
        <f>+N42+N41</f>
        <v>814.59400000000005</v>
      </c>
    </row>
    <row r="44" spans="1:18">
      <c r="A44" s="207">
        <f>+A41+1</f>
        <v>42351</v>
      </c>
      <c r="B44" s="83"/>
      <c r="C44" s="80">
        <f>+'SALES SUMMARY'!AF45</f>
        <v>1245.42</v>
      </c>
      <c r="D44" s="81">
        <f>(C44*0.8)*0.85</f>
        <v>846.88560000000007</v>
      </c>
      <c r="E44" s="81">
        <f>(C44*0.8)*0.15</f>
        <v>149.4504</v>
      </c>
      <c r="F44" s="82">
        <f>C44*0.2</f>
        <v>249.08400000000003</v>
      </c>
      <c r="I44" s="123">
        <f>+I41+1</f>
        <v>42366</v>
      </c>
      <c r="J44" s="83"/>
      <c r="K44" s="80">
        <f>+'SALES SUMMARY'!AF90</f>
        <v>2151.4299999999998</v>
      </c>
      <c r="L44" s="81">
        <f>(K44*0.8)*0.85</f>
        <v>1462.9723999999999</v>
      </c>
      <c r="M44" s="81">
        <f>(K44*0.8)*0.15</f>
        <v>258.17160000000001</v>
      </c>
      <c r="N44" s="82">
        <f>K44*0.2</f>
        <v>430.286</v>
      </c>
    </row>
    <row r="45" spans="1:18" ht="13.5" thickBot="1">
      <c r="A45" s="208"/>
      <c r="B45" s="83"/>
      <c r="C45" s="80">
        <f>+'SALES SUMMARY'!AF46</f>
        <v>1181.83</v>
      </c>
      <c r="D45" s="81">
        <f>(C45*0.8)*0.85</f>
        <v>803.64439999999991</v>
      </c>
      <c r="E45" s="81">
        <f>(C45*0.8)*0.15</f>
        <v>141.81959999999998</v>
      </c>
      <c r="F45" s="82">
        <f>C45*0.2</f>
        <v>236.36599999999999</v>
      </c>
      <c r="I45" s="124"/>
      <c r="J45" s="83"/>
      <c r="K45" s="80">
        <f>+'SALES SUMMARY'!AF91</f>
        <v>1181.05</v>
      </c>
      <c r="L45" s="81">
        <f>(K45*0.8)*0.85</f>
        <v>803.11400000000003</v>
      </c>
      <c r="M45" s="81">
        <f>(K45*0.8)*0.15</f>
        <v>141.726</v>
      </c>
      <c r="N45" s="82">
        <f>K45*0.2</f>
        <v>236.21</v>
      </c>
      <c r="R45" s="83"/>
    </row>
    <row r="46" spans="1:18" ht="13.5" thickBot="1">
      <c r="A46" s="126"/>
      <c r="B46" s="84"/>
      <c r="C46" s="85">
        <f>+C45+C44</f>
        <v>2427.25</v>
      </c>
      <c r="D46" s="86">
        <f>+D45+D44</f>
        <v>1650.53</v>
      </c>
      <c r="E46" s="86">
        <f>+E45+E44</f>
        <v>291.27</v>
      </c>
      <c r="F46" s="87">
        <f>+F45+F44</f>
        <v>485.45000000000005</v>
      </c>
      <c r="G46" s="128"/>
      <c r="I46" s="126"/>
      <c r="J46" s="84"/>
      <c r="K46" s="85">
        <f>+K45+K44</f>
        <v>3332.4799999999996</v>
      </c>
      <c r="L46" s="86">
        <f>+L45+L44</f>
        <v>2266.0864000000001</v>
      </c>
      <c r="M46" s="86">
        <f>+M45+M44</f>
        <v>399.89760000000001</v>
      </c>
      <c r="N46" s="87">
        <f>+N45+N44</f>
        <v>666.49599999999998</v>
      </c>
    </row>
    <row r="47" spans="1:18">
      <c r="A47" s="207">
        <f>+A44+1</f>
        <v>42352</v>
      </c>
      <c r="B47" s="83"/>
      <c r="C47" s="80">
        <f>+'SALES SUMMARY'!AF48</f>
        <v>2699.05</v>
      </c>
      <c r="D47" s="81">
        <f>(C47*0.8)*0.85</f>
        <v>1835.354</v>
      </c>
      <c r="E47" s="81">
        <f>(C47*0.8)*0.15</f>
        <v>323.88600000000002</v>
      </c>
      <c r="F47" s="82">
        <f>C47*0.2</f>
        <v>539.81000000000006</v>
      </c>
      <c r="I47" s="123">
        <f>+I44+1</f>
        <v>42367</v>
      </c>
      <c r="J47" s="83"/>
      <c r="K47" s="80">
        <f>+'SALES SUMMARY'!AF93</f>
        <v>3849.21</v>
      </c>
      <c r="L47" s="81">
        <f>(K47*0.8)*0.85</f>
        <v>2617.4628000000002</v>
      </c>
      <c r="M47" s="81">
        <f>(K47*0.8)*0.15</f>
        <v>461.90520000000004</v>
      </c>
      <c r="N47" s="82">
        <f>K47*0.2</f>
        <v>769.8420000000001</v>
      </c>
    </row>
    <row r="48" spans="1:18" ht="13.5" thickBot="1">
      <c r="A48" s="208"/>
      <c r="B48" s="83"/>
      <c r="C48" s="80">
        <f>+'SALES SUMMARY'!AF49</f>
        <v>1568.31</v>
      </c>
      <c r="D48" s="81">
        <f>(C48*0.8)*0.85</f>
        <v>1066.4508000000001</v>
      </c>
      <c r="E48" s="81">
        <f>(C48*0.8)*0.15</f>
        <v>188.19720000000001</v>
      </c>
      <c r="F48" s="82">
        <f>C48*0.2</f>
        <v>313.66200000000003</v>
      </c>
      <c r="I48" s="124"/>
      <c r="J48" s="83"/>
      <c r="K48" s="80">
        <f>+'SALES SUMMARY'!AF94</f>
        <v>2273.0300000000002</v>
      </c>
      <c r="L48" s="81">
        <f>(K48*0.8)*0.85</f>
        <v>1545.6604000000002</v>
      </c>
      <c r="M48" s="81">
        <f>(K48*0.8)*0.15</f>
        <v>272.7636</v>
      </c>
      <c r="N48" s="82">
        <f>K48*0.2</f>
        <v>454.60600000000005</v>
      </c>
    </row>
    <row r="49" spans="1:16" ht="13.5" thickBot="1">
      <c r="A49" s="126"/>
      <c r="B49" s="84"/>
      <c r="C49" s="85">
        <f>+C48+C47</f>
        <v>4267.3600000000006</v>
      </c>
      <c r="D49" s="86">
        <f>+D48+D47</f>
        <v>2901.8047999999999</v>
      </c>
      <c r="E49" s="86">
        <f>+E48+E47</f>
        <v>512.08320000000003</v>
      </c>
      <c r="F49" s="87">
        <f>+F48+F47</f>
        <v>853.47200000000009</v>
      </c>
      <c r="G49" s="128"/>
      <c r="H49" s="128"/>
      <c r="I49" s="126"/>
      <c r="J49" s="84"/>
      <c r="K49" s="85">
        <f>+K48+K47</f>
        <v>6122.24</v>
      </c>
      <c r="L49" s="86">
        <f>+L48+L47</f>
        <v>4163.1232</v>
      </c>
      <c r="M49" s="86">
        <f>+M48+M47</f>
        <v>734.66880000000003</v>
      </c>
      <c r="N49" s="87">
        <f>+N48+N47</f>
        <v>1224.4480000000001</v>
      </c>
    </row>
    <row r="50" spans="1:16">
      <c r="A50" s="207">
        <f>+A47+1</f>
        <v>42353</v>
      </c>
      <c r="B50" s="83"/>
      <c r="C50" s="80">
        <f>+'SALES SUMMARY'!AF51</f>
        <v>0</v>
      </c>
      <c r="D50" s="81">
        <f>(C50*0.8)*0.85</f>
        <v>0</v>
      </c>
      <c r="E50" s="81">
        <f>(C50*0.8)*0.15</f>
        <v>0</v>
      </c>
      <c r="F50" s="82">
        <f>C50*0.2</f>
        <v>0</v>
      </c>
      <c r="I50" s="123">
        <f>+I47+1</f>
        <v>42368</v>
      </c>
      <c r="J50" s="83"/>
      <c r="K50" s="80">
        <f>+'SALES SUMMARY'!AF96</f>
        <v>0</v>
      </c>
      <c r="L50" s="81">
        <f>(K50*0.8)*0.85</f>
        <v>0</v>
      </c>
      <c r="M50" s="81">
        <f>(K50*0.8)*0.15</f>
        <v>0</v>
      </c>
      <c r="N50" s="82">
        <f>K50*0.2</f>
        <v>0</v>
      </c>
    </row>
    <row r="51" spans="1:16" ht="13.5" thickBot="1">
      <c r="A51" s="208"/>
      <c r="B51" s="83"/>
      <c r="C51" s="80">
        <f>+'SALES SUMMARY'!AF52</f>
        <v>0</v>
      </c>
      <c r="D51" s="81">
        <f>(C51*0.8)*0.85</f>
        <v>0</v>
      </c>
      <c r="E51" s="81">
        <f>(C51*0.8)*0.15</f>
        <v>0</v>
      </c>
      <c r="F51" s="82">
        <f>C51*0.2</f>
        <v>0</v>
      </c>
      <c r="I51" s="124"/>
      <c r="J51" s="83"/>
      <c r="K51" s="80">
        <f>+'SALES SUMMARY'!AF97</f>
        <v>1406.73</v>
      </c>
      <c r="L51" s="81">
        <f>(K51*0.8)*0.85</f>
        <v>956.57640000000004</v>
      </c>
      <c r="M51" s="81">
        <f>(K51*0.8)*0.15</f>
        <v>168.80760000000001</v>
      </c>
      <c r="N51" s="82">
        <f>K51*0.2</f>
        <v>281.346</v>
      </c>
    </row>
    <row r="52" spans="1:16" ht="13.5" thickBot="1">
      <c r="A52" s="126"/>
      <c r="B52" s="84"/>
      <c r="C52" s="85">
        <f>+C51+C50</f>
        <v>0</v>
      </c>
      <c r="D52" s="86">
        <f>+D51+D50</f>
        <v>0</v>
      </c>
      <c r="E52" s="86">
        <f>+E51+E50</f>
        <v>0</v>
      </c>
      <c r="F52" s="87">
        <f>+F51+F50</f>
        <v>0</v>
      </c>
      <c r="G52" s="128"/>
      <c r="H52" s="128"/>
      <c r="I52" s="126"/>
      <c r="J52" s="84"/>
      <c r="K52" s="85">
        <f>+K51+K50</f>
        <v>1406.73</v>
      </c>
      <c r="L52" s="86">
        <f>+L51+L50</f>
        <v>956.57640000000004</v>
      </c>
      <c r="M52" s="86">
        <f>+M51+M50</f>
        <v>168.80760000000001</v>
      </c>
      <c r="N52" s="87">
        <f>+N51+N50</f>
        <v>281.346</v>
      </c>
    </row>
    <row r="53" spans="1:16" ht="13.5" thickBot="1">
      <c r="C53" s="88"/>
      <c r="D53" s="88"/>
      <c r="E53" s="88"/>
      <c r="F53" s="82"/>
      <c r="I53" s="123">
        <f>+I50+1</f>
        <v>42369</v>
      </c>
      <c r="J53" s="83"/>
      <c r="K53" s="80">
        <f>+'SALES SUMMARY'!AF99</f>
        <v>0</v>
      </c>
      <c r="L53" s="81">
        <f>(K53*0.8)*0.85</f>
        <v>0</v>
      </c>
      <c r="M53" s="81">
        <f>(K53*0.8)*0.15</f>
        <v>0</v>
      </c>
      <c r="N53" s="82">
        <f>K53*0.2</f>
        <v>0</v>
      </c>
    </row>
    <row r="54" spans="1:16" ht="14.25" thickTop="1" thickBot="1">
      <c r="A54" s="89" t="s">
        <v>45</v>
      </c>
      <c r="B54" s="89"/>
      <c r="C54" s="90">
        <f>C10+C13+C16+C19+C22+C25+C28+C31+C34+C37+C40+C43+C46+C49+C52</f>
        <v>28950.62</v>
      </c>
      <c r="D54" s="90">
        <f>D10+D13+D16+D19+D22+D25+D28+D31+D34+D37+D40+D43+D46+D49+D52</f>
        <v>19686.421600000001</v>
      </c>
      <c r="E54" s="90">
        <f>E10+E13+E16+E19+E22+E25+E28+E31+E34+E37+E40+E43+E46+E49+E52</f>
        <v>3474.0744</v>
      </c>
      <c r="F54" s="90">
        <f>F10+F13+F16+F19+F22+F25+F28+F31+F34+F37+F40+F43+F46+F49+F52</f>
        <v>5790.1239999999989</v>
      </c>
      <c r="I54" s="124"/>
      <c r="J54" s="83"/>
      <c r="K54" s="80">
        <f>+'SALES SUMMARY'!AF100</f>
        <v>0</v>
      </c>
      <c r="L54" s="81">
        <f>(K54*0.8)*0.85</f>
        <v>0</v>
      </c>
      <c r="M54" s="81">
        <f>(K54*0.8)*0.15</f>
        <v>0</v>
      </c>
      <c r="N54" s="82">
        <f>K54*0.2</f>
        <v>0</v>
      </c>
    </row>
    <row r="55" spans="1:16" ht="14.25" thickTop="1" thickBot="1">
      <c r="C55" s="75" t="s">
        <v>1</v>
      </c>
      <c r="I55" s="126"/>
      <c r="J55" s="84"/>
      <c r="K55" s="85">
        <f>+K54+K53</f>
        <v>0</v>
      </c>
      <c r="L55" s="86">
        <f>+L54+L53</f>
        <v>0</v>
      </c>
      <c r="M55" s="86">
        <f>+M54+M53</f>
        <v>0</v>
      </c>
      <c r="N55" s="87">
        <f>+N54+N53</f>
        <v>0</v>
      </c>
    </row>
    <row r="56" spans="1:16" ht="13.5" thickBot="1">
      <c r="A56" s="91"/>
      <c r="B56" s="91"/>
      <c r="C56" s="91" t="s">
        <v>70</v>
      </c>
      <c r="D56" s="91"/>
      <c r="E56" s="91"/>
      <c r="F56" s="92">
        <f>D54</f>
        <v>19686.421600000001</v>
      </c>
      <c r="K56" s="88"/>
      <c r="L56" s="88"/>
      <c r="M56" s="88"/>
      <c r="N56" s="82"/>
    </row>
    <row r="57" spans="1:16" ht="14.25" thickTop="1" thickBot="1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>
        <f>+K55+K52+K49+K46+K43+K40+K37+K34+K31+K28+K25+K22+K19+K16+K13+K10</f>
        <v>34759.71</v>
      </c>
      <c r="L57" s="90">
        <f>+L10+L13+L16+L19+L22+L25+L28+L31+L34+L37+L40+L43+L46+L49+L52+L55</f>
        <v>23636.602800000004</v>
      </c>
      <c r="M57" s="90">
        <f>+M10+M13+M16+M19+M22+M25+M28+M31+M34+M37+M40+M43+M46+M49+M52+M55</f>
        <v>4171.1652000000004</v>
      </c>
      <c r="N57" s="90">
        <f>+N10+N13+N16+N19+N22+N25+N28+N31+N34+N37+N40+N43+N46+N49+N52+N55</f>
        <v>6951.9420000000009</v>
      </c>
    </row>
    <row r="58" spans="1:16" ht="14.25" thickTop="1" thickBot="1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>
        <f>L57</f>
        <v>23636.602800000004</v>
      </c>
    </row>
    <row r="60" spans="1:16" ht="14.25" thickTop="1" thickBot="1">
      <c r="A60" s="91"/>
      <c r="B60" s="91"/>
      <c r="C60" s="91" t="s">
        <v>78</v>
      </c>
      <c r="D60" s="91"/>
      <c r="E60" s="91"/>
      <c r="F60" s="93">
        <f>(F54-F59)*0.6</f>
        <v>726.07439999999929</v>
      </c>
      <c r="I60" s="91"/>
      <c r="J60" s="91"/>
      <c r="K60" s="91"/>
      <c r="L60" s="91"/>
      <c r="M60" s="131"/>
    </row>
    <row r="61" spans="1:16" ht="14.25" thickTop="1" thickBot="1">
      <c r="A61" s="91"/>
      <c r="B61" s="91"/>
      <c r="C61" s="91" t="s">
        <v>79</v>
      </c>
      <c r="D61" s="91"/>
      <c r="E61" s="91"/>
      <c r="F61" s="94">
        <f>+F59+F60</f>
        <v>5306.0743999999995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>
      <c r="A63" s="91"/>
      <c r="B63" s="91"/>
      <c r="C63" s="91" t="s">
        <v>80</v>
      </c>
      <c r="D63" s="91"/>
      <c r="E63" s="91"/>
      <c r="F63" s="93">
        <f>E54</f>
        <v>3474.0744</v>
      </c>
      <c r="I63" s="91"/>
      <c r="J63" s="91" t="s">
        <v>81</v>
      </c>
      <c r="K63" s="91"/>
      <c r="L63" s="91"/>
      <c r="M63" s="131"/>
      <c r="N63" s="133">
        <f>(N57-N62)*0.6</f>
        <v>1423.1652000000006</v>
      </c>
    </row>
    <row r="64" spans="1:16" ht="14.25" thickTop="1" thickBot="1">
      <c r="I64" s="91"/>
      <c r="J64" s="91" t="s">
        <v>79</v>
      </c>
      <c r="K64" s="91"/>
      <c r="L64" s="91"/>
      <c r="M64" s="130"/>
      <c r="N64" s="94">
        <f>+N62+N63</f>
        <v>6003.1652000000004</v>
      </c>
    </row>
    <row r="65" spans="3:14" ht="13.5" thickTop="1">
      <c r="C65" s="91" t="s">
        <v>82</v>
      </c>
      <c r="I65" s="91"/>
      <c r="J65" s="91"/>
      <c r="K65" s="91"/>
      <c r="L65" s="91"/>
      <c r="M65" s="131"/>
    </row>
    <row r="66" spans="3:14">
      <c r="C66" s="91" t="s">
        <v>83</v>
      </c>
      <c r="F66" s="93">
        <f>(F54-F59)*0.4</f>
        <v>484.0495999999996</v>
      </c>
      <c r="I66" s="91"/>
      <c r="J66" s="91" t="s">
        <v>80</v>
      </c>
      <c r="K66" s="91"/>
      <c r="L66" s="91"/>
      <c r="M66" s="130"/>
      <c r="N66" s="93">
        <f>M57</f>
        <v>4171.1652000000004</v>
      </c>
    </row>
    <row r="67" spans="3:14">
      <c r="M67" s="83"/>
    </row>
    <row r="68" spans="3:14" ht="13.5" thickBot="1">
      <c r="C68" s="91" t="s">
        <v>84</v>
      </c>
      <c r="F68" s="95">
        <f>+F56+F59+F60+F63+F66</f>
        <v>28950.62</v>
      </c>
      <c r="G68" s="128">
        <f>+F68-C54</f>
        <v>0</v>
      </c>
      <c r="J68" s="91" t="s">
        <v>82</v>
      </c>
      <c r="M68" s="83"/>
    </row>
    <row r="69" spans="3:14" ht="13.5" thickTop="1">
      <c r="J69" s="91" t="s">
        <v>83</v>
      </c>
      <c r="M69" s="83"/>
      <c r="N69" s="93">
        <f>(N57-N62)*0.4</f>
        <v>948.77680000000043</v>
      </c>
    </row>
    <row r="71" spans="3:14" ht="13.5" thickBot="1">
      <c r="J71" s="91" t="s">
        <v>84</v>
      </c>
      <c r="N71" s="95">
        <f>+N59+N62+N63+N66+N69</f>
        <v>34759.710000000006</v>
      </c>
    </row>
    <row r="72" spans="3:14" ht="13.5" thickTop="1"/>
    <row r="74" spans="3:14">
      <c r="F74" s="75" t="s">
        <v>1</v>
      </c>
    </row>
  </sheetData>
  <mergeCells count="26">
    <mergeCell ref="A47:A48"/>
    <mergeCell ref="A50:A51"/>
    <mergeCell ref="A29:A30"/>
    <mergeCell ref="A32:A33"/>
    <mergeCell ref="A35:A36"/>
    <mergeCell ref="A38:A39"/>
    <mergeCell ref="A41:A42"/>
    <mergeCell ref="A44:A45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26:A27"/>
    <mergeCell ref="J5:J6"/>
    <mergeCell ref="K5:K6"/>
    <mergeCell ref="L5:M5"/>
    <mergeCell ref="A11:A12"/>
    <mergeCell ref="A14:A15"/>
    <mergeCell ref="A17:A18"/>
    <mergeCell ref="A20:A21"/>
    <mergeCell ref="A23:A24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topLeftCell="A34" workbookViewId="0">
      <selection activeCell="N99" sqref="N99"/>
    </sheetView>
  </sheetViews>
  <sheetFormatPr defaultRowHeight="12.75"/>
  <cols>
    <col min="1" max="1" width="31.71093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>
      <c r="A1" s="96"/>
      <c r="B1" s="96"/>
      <c r="C1" s="96"/>
      <c r="D1" s="96"/>
      <c r="E1" s="96"/>
      <c r="F1" s="96"/>
      <c r="G1" s="96"/>
    </row>
    <row r="2" spans="1:7">
      <c r="A2" s="96"/>
      <c r="B2" s="96"/>
      <c r="C2" s="96"/>
      <c r="D2" s="96"/>
      <c r="E2" s="96"/>
      <c r="F2" s="96"/>
      <c r="G2" s="96"/>
    </row>
    <row r="3" spans="1:7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>
      <c r="A4" s="97" t="s">
        <v>85</v>
      </c>
      <c r="B4" s="98"/>
      <c r="C4" s="98"/>
      <c r="D4" s="96"/>
      <c r="E4" s="96"/>
      <c r="F4" s="96"/>
      <c r="G4" s="96"/>
    </row>
    <row r="5" spans="1:7">
      <c r="A5" s="99" t="str">
        <f>'SALES SUMMARY'!A4</f>
        <v>FOR THE MONTH ENDED  JUNE 2018</v>
      </c>
      <c r="B5" s="99"/>
      <c r="C5" s="99"/>
      <c r="D5" s="99"/>
      <c r="E5" s="96"/>
      <c r="F5" s="96"/>
      <c r="G5" s="96"/>
    </row>
    <row r="6" spans="1:7">
      <c r="A6" s="96"/>
      <c r="B6" s="96"/>
      <c r="C6" s="96"/>
      <c r="D6" s="96"/>
      <c r="E6" s="96"/>
      <c r="F6" s="96"/>
      <c r="G6" s="96"/>
    </row>
    <row r="7" spans="1:7">
      <c r="A7" s="96"/>
      <c r="B7" s="96"/>
      <c r="C7" s="96"/>
      <c r="D7" s="96"/>
      <c r="E7" s="96"/>
      <c r="F7" s="96"/>
      <c r="G7" s="96"/>
    </row>
    <row r="8" spans="1:7">
      <c r="A8" s="96" t="s">
        <v>86</v>
      </c>
      <c r="B8" s="96"/>
      <c r="C8" s="96"/>
      <c r="D8" s="96"/>
      <c r="E8" s="96"/>
      <c r="F8" s="96"/>
      <c r="G8" s="100">
        <f>+'SALES SUMMARY'!C105</f>
        <v>842864.81</v>
      </c>
    </row>
    <row r="9" spans="1:7">
      <c r="A9" s="96"/>
      <c r="B9" s="96"/>
      <c r="C9" s="96"/>
      <c r="D9" s="96"/>
      <c r="E9" s="96"/>
      <c r="F9" s="96"/>
      <c r="G9" s="100"/>
    </row>
    <row r="10" spans="1:7">
      <c r="A10" s="96" t="s">
        <v>87</v>
      </c>
      <c r="B10" s="96"/>
      <c r="C10" s="96"/>
      <c r="D10" s="96"/>
      <c r="E10" s="96"/>
      <c r="F10" s="96"/>
      <c r="G10" s="100">
        <f>+'SALES SUMMARY'!AF105</f>
        <v>63710.330000000016</v>
      </c>
    </row>
    <row r="11" spans="1:7">
      <c r="A11" s="96"/>
      <c r="B11" s="96"/>
      <c r="C11" s="96"/>
      <c r="D11" s="96"/>
      <c r="E11" s="96"/>
      <c r="F11" s="96"/>
      <c r="G11" s="96"/>
    </row>
    <row r="12" spans="1:7">
      <c r="A12" s="96" t="s">
        <v>33</v>
      </c>
      <c r="B12" s="96"/>
      <c r="C12" s="96"/>
      <c r="D12" s="96"/>
      <c r="E12" s="96"/>
      <c r="F12" s="96"/>
      <c r="G12" s="101">
        <f>+'SALES SUMMARY'!AM105</f>
        <v>78026.2190142857</v>
      </c>
    </row>
    <row r="13" spans="1:7">
      <c r="A13" s="96"/>
      <c r="B13" s="96"/>
      <c r="C13" s="96"/>
      <c r="D13" s="96"/>
      <c r="E13" s="96"/>
      <c r="F13" s="96"/>
      <c r="G13" s="102"/>
    </row>
    <row r="14" spans="1:7">
      <c r="A14" s="96" t="s">
        <v>31</v>
      </c>
      <c r="B14" s="96"/>
      <c r="C14" s="96"/>
      <c r="D14" s="96"/>
      <c r="E14" s="96"/>
      <c r="F14" s="96"/>
      <c r="G14" s="100">
        <f>G8-G10-G12</f>
        <v>701128.26098571427</v>
      </c>
    </row>
    <row r="15" spans="1:7">
      <c r="A15" s="96"/>
      <c r="B15" s="96"/>
      <c r="C15" s="96"/>
      <c r="D15" s="96"/>
      <c r="E15" s="96"/>
      <c r="F15" s="96"/>
      <c r="G15" s="96"/>
    </row>
    <row r="16" spans="1:7">
      <c r="A16" s="96"/>
      <c r="B16" s="96"/>
      <c r="C16" s="96"/>
      <c r="D16" s="96"/>
      <c r="E16" s="96"/>
      <c r="F16" s="96"/>
      <c r="G16" s="103"/>
    </row>
    <row r="17" spans="1:7" ht="13.5" thickBot="1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14022.565219714286</v>
      </c>
    </row>
    <row r="18" spans="1:7" ht="13.5" thickTop="1">
      <c r="A18" s="104"/>
      <c r="B18" s="104"/>
      <c r="C18" s="104"/>
      <c r="D18" s="104"/>
      <c r="E18" s="104"/>
      <c r="F18" s="105"/>
      <c r="G18" s="122"/>
    </row>
    <row r="19" spans="1:7">
      <c r="A19" s="104" t="s">
        <v>105</v>
      </c>
      <c r="B19" s="104"/>
      <c r="C19" s="104"/>
      <c r="D19" s="104"/>
      <c r="E19" s="104"/>
      <c r="F19" s="105"/>
      <c r="G19" s="122">
        <f>+G17*0.12</f>
        <v>1682.7078263657143</v>
      </c>
    </row>
    <row r="20" spans="1:7">
      <c r="A20" s="104"/>
      <c r="B20" s="104"/>
      <c r="C20" s="104"/>
      <c r="D20" s="104"/>
      <c r="E20" s="104"/>
      <c r="F20" s="105"/>
      <c r="G20" s="122"/>
    </row>
    <row r="21" spans="1:7">
      <c r="A21" s="104" t="s">
        <v>106</v>
      </c>
      <c r="B21" s="104"/>
      <c r="C21" s="104"/>
      <c r="D21" s="104"/>
      <c r="E21" s="104"/>
      <c r="F21" s="105"/>
      <c r="G21" s="122">
        <f>+G17*0.1</f>
        <v>1402.2565219714288</v>
      </c>
    </row>
    <row r="22" spans="1:7">
      <c r="A22" s="96"/>
      <c r="B22" s="96"/>
      <c r="C22" s="96"/>
      <c r="D22" s="96"/>
      <c r="E22" s="96"/>
      <c r="F22" s="96"/>
      <c r="G22" s="100"/>
    </row>
    <row r="23" spans="1:7" ht="13.5" thickBot="1">
      <c r="A23" s="104" t="s">
        <v>142</v>
      </c>
      <c r="B23" s="104"/>
      <c r="C23" s="104"/>
      <c r="D23" s="104"/>
      <c r="E23" s="104"/>
      <c r="F23" s="104"/>
      <c r="G23" s="112">
        <f>G17+G19-G21</f>
        <v>14303.016524108572</v>
      </c>
    </row>
    <row r="24" spans="1:7" ht="13.5" thickTop="1">
      <c r="A24" s="96"/>
      <c r="B24" s="96"/>
      <c r="C24" s="96"/>
      <c r="D24" s="96"/>
      <c r="E24" s="96"/>
      <c r="F24" s="96"/>
      <c r="G24" s="96"/>
    </row>
    <row r="25" spans="1:7">
      <c r="A25" s="96"/>
      <c r="B25" s="96"/>
      <c r="C25" s="96"/>
      <c r="D25" s="96"/>
      <c r="E25" s="96"/>
      <c r="F25" s="96"/>
      <c r="G25" s="96"/>
    </row>
    <row r="26" spans="1:7">
      <c r="A26" s="96"/>
      <c r="B26" s="96"/>
      <c r="C26" s="96"/>
      <c r="D26" s="96"/>
      <c r="E26" s="96"/>
      <c r="F26" s="96"/>
      <c r="G26" s="96"/>
    </row>
    <row r="27" spans="1:7">
      <c r="A27" s="96"/>
      <c r="B27" s="96"/>
      <c r="C27" s="96"/>
      <c r="D27" s="96"/>
      <c r="E27" s="96"/>
      <c r="F27" s="96"/>
      <c r="G27" s="96"/>
    </row>
    <row r="28" spans="1:7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>
      <c r="A29" s="107"/>
      <c r="B29" s="107"/>
      <c r="C29" s="107"/>
      <c r="D29" s="107"/>
      <c r="E29" s="107"/>
      <c r="F29" s="107"/>
      <c r="G29" s="107"/>
    </row>
    <row r="30" spans="1:7">
      <c r="A30" s="108"/>
      <c r="B30" s="108"/>
      <c r="C30" s="108"/>
      <c r="D30" s="108"/>
      <c r="E30" s="108"/>
      <c r="F30" s="108"/>
      <c r="G30" s="108"/>
    </row>
    <row r="31" spans="1:7">
      <c r="A31" s="109"/>
      <c r="B31" s="109"/>
      <c r="C31" s="109"/>
      <c r="D31" s="109"/>
      <c r="E31" s="109"/>
      <c r="F31" s="109"/>
      <c r="G31" s="109"/>
    </row>
    <row r="32" spans="1:7">
      <c r="A32" s="109"/>
      <c r="B32" s="109"/>
      <c r="C32" s="109"/>
      <c r="D32" s="109"/>
      <c r="E32" s="109"/>
      <c r="F32" s="109"/>
      <c r="G32" s="109"/>
    </row>
    <row r="33" spans="1:7">
      <c r="A33" s="109"/>
      <c r="B33" s="109"/>
      <c r="C33" s="109"/>
      <c r="D33" s="109"/>
      <c r="E33" s="109"/>
      <c r="F33" s="109"/>
      <c r="G33" s="109"/>
    </row>
    <row r="34" spans="1:7">
      <c r="A34" s="109"/>
      <c r="B34" s="109"/>
      <c r="C34" s="109"/>
      <c r="D34" s="109"/>
      <c r="E34" s="109"/>
      <c r="F34" s="109"/>
      <c r="G34" s="109"/>
    </row>
    <row r="35" spans="1:7">
      <c r="A35" s="109"/>
      <c r="B35" s="109"/>
      <c r="C35" s="109"/>
      <c r="D35" s="109"/>
      <c r="E35" s="109"/>
      <c r="F35" s="109"/>
      <c r="G35" s="109"/>
    </row>
    <row r="36" spans="1:7">
      <c r="A36" s="109"/>
      <c r="B36" s="109"/>
      <c r="C36" s="109"/>
      <c r="D36" s="109"/>
      <c r="E36" s="109"/>
      <c r="F36" s="109"/>
      <c r="G36" s="109"/>
    </row>
    <row r="37" spans="1:7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>
      <c r="A38" s="97" t="s">
        <v>85</v>
      </c>
      <c r="B38" s="98"/>
      <c r="C38" s="98"/>
      <c r="D38" s="96"/>
      <c r="E38" s="96"/>
      <c r="F38" s="96"/>
      <c r="G38" s="96"/>
    </row>
    <row r="39" spans="1:7">
      <c r="A39" s="99" t="str">
        <f>+A5</f>
        <v>FOR THE MONTH ENDED  JUNE 2018</v>
      </c>
      <c r="B39" s="99"/>
      <c r="C39" s="99"/>
      <c r="D39" s="99"/>
      <c r="E39" s="96"/>
      <c r="F39" s="96"/>
      <c r="G39" s="96"/>
    </row>
    <row r="40" spans="1:7">
      <c r="A40" s="96"/>
      <c r="B40" s="96"/>
      <c r="C40" s="96"/>
      <c r="D40" s="96"/>
      <c r="E40" s="96"/>
      <c r="F40" s="96"/>
      <c r="G40" s="96"/>
    </row>
    <row r="41" spans="1:7">
      <c r="A41" s="96"/>
      <c r="B41" s="96"/>
      <c r="C41" s="96"/>
      <c r="D41" s="96"/>
      <c r="E41" s="96"/>
      <c r="F41" s="96"/>
      <c r="G41" s="96"/>
    </row>
    <row r="42" spans="1:7">
      <c r="A42" s="96" t="s">
        <v>86</v>
      </c>
      <c r="B42" s="96"/>
      <c r="C42" s="96"/>
      <c r="D42" s="96"/>
      <c r="E42" s="96"/>
      <c r="F42" s="96"/>
      <c r="G42" s="100">
        <f>G8</f>
        <v>842864.81</v>
      </c>
    </row>
    <row r="43" spans="1:7">
      <c r="A43" s="96"/>
      <c r="B43" s="96"/>
      <c r="C43" s="96"/>
      <c r="D43" s="96"/>
      <c r="E43" s="96"/>
      <c r="F43" s="96"/>
      <c r="G43" s="96"/>
    </row>
    <row r="44" spans="1:7">
      <c r="A44" s="96" t="s">
        <v>87</v>
      </c>
      <c r="B44" s="96"/>
      <c r="C44" s="96"/>
      <c r="D44" s="96"/>
      <c r="E44" s="96"/>
      <c r="F44" s="96"/>
      <c r="G44" s="100">
        <f>+G10</f>
        <v>63710.330000000016</v>
      </c>
    </row>
    <row r="45" spans="1:7">
      <c r="A45" s="96"/>
      <c r="B45" s="96"/>
      <c r="C45" s="96"/>
      <c r="D45" s="96"/>
      <c r="E45" s="96"/>
      <c r="F45" s="96"/>
      <c r="G45" s="96"/>
    </row>
    <row r="46" spans="1:7">
      <c r="A46" s="96" t="s">
        <v>33</v>
      </c>
      <c r="B46" s="96"/>
      <c r="C46" s="96"/>
      <c r="D46" s="96"/>
      <c r="E46" s="96"/>
      <c r="F46" s="96"/>
      <c r="G46" s="101">
        <f>G12</f>
        <v>78026.2190142857</v>
      </c>
    </row>
    <row r="47" spans="1:7">
      <c r="A47" s="96"/>
      <c r="B47" s="96"/>
      <c r="C47" s="96"/>
      <c r="D47" s="96"/>
      <c r="E47" s="96"/>
      <c r="F47" s="96"/>
      <c r="G47" s="102"/>
    </row>
    <row r="48" spans="1:7">
      <c r="A48" s="96" t="s">
        <v>31</v>
      </c>
      <c r="B48" s="96"/>
      <c r="C48" s="96"/>
      <c r="D48" s="96"/>
      <c r="E48" s="96"/>
      <c r="F48" s="96"/>
      <c r="G48" s="100">
        <f>G42-G44-G46</f>
        <v>701128.26098571427</v>
      </c>
    </row>
    <row r="49" spans="1:7">
      <c r="A49" s="96"/>
      <c r="B49" s="96"/>
      <c r="C49" s="96"/>
      <c r="D49" s="96"/>
      <c r="E49" s="96"/>
      <c r="F49" s="96"/>
      <c r="G49" s="96"/>
    </row>
    <row r="50" spans="1:7">
      <c r="A50" s="96"/>
      <c r="B50" s="96"/>
      <c r="C50" s="96"/>
      <c r="D50" s="96"/>
      <c r="E50" s="96"/>
      <c r="F50" s="96"/>
      <c r="G50" s="103"/>
    </row>
    <row r="51" spans="1:7" ht="13.5" thickBot="1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14022.565219714286</v>
      </c>
    </row>
    <row r="52" spans="1:7" ht="13.5" thickTop="1">
      <c r="A52" s="104"/>
      <c r="B52" s="104"/>
      <c r="C52" s="104"/>
      <c r="D52" s="104"/>
      <c r="E52" s="104"/>
      <c r="F52" s="105"/>
      <c r="G52" s="122"/>
    </row>
    <row r="53" spans="1:7">
      <c r="A53" s="104" t="s">
        <v>105</v>
      </c>
      <c r="B53" s="104"/>
      <c r="C53" s="104"/>
      <c r="D53" s="104"/>
      <c r="E53" s="104"/>
      <c r="F53" s="105"/>
      <c r="G53" s="122">
        <f>+G51*0.12</f>
        <v>1682.7078263657143</v>
      </c>
    </row>
    <row r="54" spans="1:7">
      <c r="A54" s="104"/>
      <c r="B54" s="104"/>
      <c r="C54" s="104"/>
      <c r="D54" s="104"/>
      <c r="E54" s="104"/>
      <c r="F54" s="105"/>
      <c r="G54" s="122"/>
    </row>
    <row r="55" spans="1:7">
      <c r="A55" s="104" t="s">
        <v>106</v>
      </c>
      <c r="B55" s="104"/>
      <c r="C55" s="104"/>
      <c r="D55" s="104"/>
      <c r="E55" s="104"/>
      <c r="F55" s="105"/>
      <c r="G55" s="122">
        <f>+G51*0.1</f>
        <v>1402.2565219714288</v>
      </c>
    </row>
    <row r="56" spans="1:7">
      <c r="A56" s="96"/>
      <c r="B56" s="96"/>
      <c r="C56" s="96"/>
      <c r="D56" s="96"/>
      <c r="E56" s="96"/>
      <c r="F56" s="96"/>
      <c r="G56" s="100"/>
    </row>
    <row r="57" spans="1:7" ht="13.5" thickBot="1">
      <c r="A57" s="104" t="s">
        <v>142</v>
      </c>
      <c r="B57" s="104"/>
      <c r="C57" s="104"/>
      <c r="D57" s="104"/>
      <c r="E57" s="104"/>
      <c r="F57" s="104"/>
      <c r="G57" s="112">
        <f>G51+G53-G55</f>
        <v>14303.016524108572</v>
      </c>
    </row>
    <row r="58" spans="1:7" ht="13.5" thickTop="1">
      <c r="A58" s="96"/>
      <c r="B58" s="96"/>
      <c r="C58" s="96"/>
      <c r="D58" s="96"/>
      <c r="E58" s="96"/>
      <c r="F58" s="96"/>
      <c r="G58" s="96"/>
    </row>
    <row r="59" spans="1:7">
      <c r="A59" s="96" t="s">
        <v>90</v>
      </c>
      <c r="B59" s="96"/>
      <c r="C59" s="96"/>
      <c r="D59" s="96"/>
      <c r="E59" s="96"/>
      <c r="F59" s="96"/>
      <c r="G59" s="96"/>
    </row>
    <row r="60" spans="1:7">
      <c r="A60" s="96"/>
      <c r="B60" s="96"/>
      <c r="C60" s="96"/>
      <c r="D60" s="96"/>
      <c r="E60" s="96"/>
      <c r="F60" s="96"/>
      <c r="G60" s="96"/>
    </row>
    <row r="61" spans="1:7">
      <c r="A61" s="96"/>
      <c r="B61" s="96"/>
      <c r="C61" s="96"/>
      <c r="D61" s="96"/>
      <c r="E61" s="96"/>
      <c r="F61" s="96"/>
      <c r="G61" s="96"/>
    </row>
    <row r="62" spans="1:7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>
      <c r="A63" s="96"/>
      <c r="B63" s="96"/>
      <c r="C63" s="96"/>
      <c r="D63" s="96"/>
      <c r="E63" s="96"/>
      <c r="F63" s="96"/>
      <c r="G63" s="96"/>
    </row>
    <row r="64" spans="1:7">
      <c r="A64" s="96"/>
      <c r="B64" s="96"/>
      <c r="C64" s="96"/>
      <c r="D64" s="96"/>
      <c r="E64" s="96"/>
      <c r="F64" s="96"/>
      <c r="G64" s="96"/>
    </row>
    <row r="67" spans="1:7">
      <c r="A67" s="96"/>
      <c r="B67" s="96"/>
      <c r="C67" s="96"/>
      <c r="D67" s="96"/>
      <c r="E67" s="96"/>
      <c r="F67" s="96"/>
      <c r="G67" s="96"/>
    </row>
    <row r="68" spans="1:7">
      <c r="A68" s="96"/>
      <c r="B68" s="96"/>
      <c r="C68" s="96"/>
      <c r="D68" s="96"/>
      <c r="E68" s="96"/>
      <c r="F68" s="96"/>
      <c r="G68" s="96"/>
    </row>
    <row r="69" spans="1:7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>
      <c r="A70" s="97" t="s">
        <v>91</v>
      </c>
      <c r="B70" s="98"/>
      <c r="C70" s="98"/>
      <c r="D70" s="96"/>
      <c r="E70" s="96"/>
      <c r="F70" s="96"/>
      <c r="G70" s="96"/>
    </row>
    <row r="71" spans="1:7">
      <c r="A71" s="99" t="str">
        <f>A5</f>
        <v>FOR THE MONTH ENDED  JUNE 2018</v>
      </c>
      <c r="B71" s="99"/>
      <c r="C71" s="99"/>
      <c r="D71" s="99"/>
      <c r="E71" s="96"/>
      <c r="F71" s="96"/>
      <c r="G71" s="96"/>
    </row>
    <row r="72" spans="1:7">
      <c r="A72" s="96"/>
      <c r="B72" s="96"/>
      <c r="C72" s="96"/>
      <c r="D72" s="96"/>
      <c r="E72" s="96"/>
      <c r="F72" s="96"/>
      <c r="G72" s="96"/>
    </row>
    <row r="73" spans="1:7">
      <c r="A73" s="96"/>
      <c r="B73" s="96"/>
      <c r="C73" s="96"/>
      <c r="D73" s="96"/>
      <c r="E73" s="96"/>
      <c r="F73" s="96"/>
      <c r="G73" s="96"/>
    </row>
    <row r="74" spans="1:7">
      <c r="A74" s="96" t="s">
        <v>86</v>
      </c>
      <c r="B74" s="96"/>
      <c r="C74" s="96"/>
      <c r="D74" s="96"/>
      <c r="E74" s="96"/>
      <c r="F74" s="96"/>
      <c r="G74" s="100">
        <f>G8</f>
        <v>842864.81</v>
      </c>
    </row>
    <row r="75" spans="1:7">
      <c r="A75" s="96"/>
      <c r="B75" s="96"/>
      <c r="C75" s="96"/>
      <c r="D75" s="96"/>
      <c r="E75" s="96"/>
      <c r="F75" s="96"/>
      <c r="G75" s="96"/>
    </row>
    <row r="76" spans="1:7">
      <c r="A76" s="96" t="s">
        <v>87</v>
      </c>
      <c r="B76" s="96"/>
      <c r="C76" s="96"/>
      <c r="D76" s="96"/>
      <c r="E76" s="96"/>
      <c r="F76" s="96"/>
      <c r="G76" s="100">
        <f>G10</f>
        <v>63710.330000000016</v>
      </c>
    </row>
    <row r="77" spans="1:7">
      <c r="A77" s="96"/>
      <c r="B77" s="96"/>
      <c r="C77" s="96"/>
      <c r="D77" s="96"/>
      <c r="E77" s="96"/>
      <c r="F77" s="96"/>
      <c r="G77" s="96"/>
    </row>
    <row r="78" spans="1:7">
      <c r="A78" s="96" t="s">
        <v>33</v>
      </c>
      <c r="B78" s="96"/>
      <c r="C78" s="96"/>
      <c r="D78" s="96"/>
      <c r="E78" s="96"/>
      <c r="F78" s="96"/>
      <c r="G78" s="101">
        <f>G12</f>
        <v>78026.2190142857</v>
      </c>
    </row>
    <row r="79" spans="1:7">
      <c r="A79" s="96"/>
      <c r="B79" s="96"/>
      <c r="C79" s="96"/>
      <c r="D79" s="96"/>
      <c r="E79" s="96"/>
      <c r="F79" s="96"/>
      <c r="G79" s="110"/>
    </row>
    <row r="80" spans="1:7">
      <c r="A80" s="96" t="s">
        <v>31</v>
      </c>
      <c r="B80" s="96"/>
      <c r="C80" s="96"/>
      <c r="D80" s="96"/>
      <c r="E80" s="96"/>
      <c r="F80" s="96"/>
      <c r="G80" s="100">
        <f>G74-G76-G78</f>
        <v>701128.26098571427</v>
      </c>
    </row>
    <row r="81" spans="1:7">
      <c r="A81" s="96"/>
      <c r="B81" s="96"/>
      <c r="C81" s="96"/>
      <c r="D81" s="96"/>
      <c r="E81" s="96"/>
      <c r="F81" s="96"/>
      <c r="G81" s="96"/>
    </row>
    <row r="82" spans="1:7">
      <c r="A82" s="96"/>
      <c r="B82" s="96"/>
      <c r="C82" s="96"/>
      <c r="D82" s="96"/>
      <c r="E82" s="96"/>
      <c r="F82" s="96"/>
      <c r="G82" s="103"/>
    </row>
    <row r="83" spans="1:7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35056.413049285715</v>
      </c>
    </row>
    <row r="84" spans="1:7">
      <c r="A84" s="104"/>
      <c r="B84" s="104"/>
      <c r="C84" s="104"/>
      <c r="D84" s="104"/>
      <c r="E84" s="104"/>
      <c r="F84" s="105"/>
      <c r="G84" s="122"/>
    </row>
    <row r="85" spans="1:7">
      <c r="A85" s="104" t="s">
        <v>105</v>
      </c>
      <c r="B85" s="104"/>
      <c r="C85" s="104"/>
      <c r="D85" s="104"/>
      <c r="E85" s="104"/>
      <c r="F85" s="105"/>
      <c r="G85" s="122">
        <f>+G83*0.12</f>
        <v>4206.7695659142855</v>
      </c>
    </row>
    <row r="86" spans="1:7">
      <c r="A86" s="104"/>
      <c r="B86" s="104"/>
      <c r="C86" s="104"/>
      <c r="D86" s="104"/>
      <c r="E86" s="104"/>
      <c r="F86" s="105"/>
      <c r="G86" s="122"/>
    </row>
    <row r="87" spans="1:7">
      <c r="A87" s="104" t="s">
        <v>107</v>
      </c>
      <c r="B87" s="104"/>
      <c r="C87" s="104"/>
      <c r="D87" s="104"/>
      <c r="E87" s="104"/>
      <c r="F87" s="105"/>
      <c r="G87" s="122">
        <f>+G83*0.1</f>
        <v>3505.6413049285716</v>
      </c>
    </row>
    <row r="88" spans="1:7">
      <c r="A88" s="96"/>
      <c r="B88" s="96"/>
      <c r="C88" s="96"/>
      <c r="D88" s="96"/>
      <c r="E88" s="96"/>
      <c r="F88" s="96"/>
      <c r="G88" s="100"/>
    </row>
    <row r="89" spans="1:7" ht="13.5" thickBot="1">
      <c r="A89" s="104" t="s">
        <v>142</v>
      </c>
      <c r="B89" s="104"/>
      <c r="C89" s="104"/>
      <c r="D89" s="104"/>
      <c r="E89" s="104"/>
      <c r="F89" s="104"/>
      <c r="G89" s="112">
        <f>+G83+G85-G87</f>
        <v>35757.54131027143</v>
      </c>
    </row>
    <row r="90" spans="1:7" ht="13.5" thickTop="1">
      <c r="A90" s="104"/>
      <c r="B90" s="104"/>
      <c r="C90" s="104"/>
      <c r="D90" s="104"/>
      <c r="E90" s="104"/>
      <c r="F90" s="104"/>
      <c r="G90" s="113"/>
    </row>
    <row r="91" spans="1:7">
      <c r="A91" s="104"/>
      <c r="B91" s="104"/>
      <c r="C91" s="104"/>
      <c r="D91" s="104"/>
      <c r="E91" s="104"/>
      <c r="F91" s="104"/>
      <c r="G91" s="113"/>
    </row>
    <row r="92" spans="1:7">
      <c r="A92" s="96"/>
      <c r="B92" s="96"/>
      <c r="C92" s="96"/>
      <c r="D92" s="96"/>
      <c r="E92" s="96"/>
      <c r="F92" s="96"/>
      <c r="G92" s="96"/>
    </row>
    <row r="93" spans="1:7">
      <c r="A93" s="96"/>
      <c r="B93" s="96"/>
      <c r="C93" s="96"/>
      <c r="D93" s="96"/>
      <c r="E93" s="96"/>
      <c r="F93" s="96"/>
      <c r="G93" s="96"/>
    </row>
    <row r="94" spans="1:7">
      <c r="A94" s="96"/>
      <c r="B94" s="96"/>
      <c r="C94" s="96"/>
      <c r="D94" s="96"/>
      <c r="E94" s="96"/>
      <c r="F94" s="96"/>
      <c r="G94" s="96"/>
    </row>
    <row r="95" spans="1:7">
      <c r="A95" s="96"/>
      <c r="B95" s="96"/>
      <c r="C95" s="96"/>
      <c r="D95" s="96"/>
      <c r="E95" s="96"/>
      <c r="F95" s="96"/>
      <c r="G95" s="96"/>
    </row>
    <row r="96" spans="1:7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>
      <c r="A97" s="107"/>
      <c r="B97" s="107"/>
      <c r="C97" s="107"/>
      <c r="D97" s="107"/>
      <c r="E97" s="107"/>
      <c r="F97" s="107"/>
      <c r="G97" s="107"/>
    </row>
    <row r="98" spans="1:7">
      <c r="A98" s="108"/>
      <c r="B98" s="108"/>
      <c r="C98" s="108"/>
      <c r="D98" s="108"/>
      <c r="E98" s="108"/>
      <c r="F98" s="108"/>
      <c r="G98" s="108"/>
    </row>
    <row r="99" spans="1:7">
      <c r="A99" s="109"/>
      <c r="B99" s="109"/>
      <c r="C99" s="109"/>
      <c r="D99" s="109"/>
      <c r="E99" s="109"/>
      <c r="F99" s="109"/>
      <c r="G99" s="109"/>
    </row>
    <row r="100" spans="1:7">
      <c r="A100" s="109"/>
      <c r="B100" s="109"/>
      <c r="C100" s="109"/>
      <c r="D100" s="109"/>
      <c r="E100" s="109"/>
      <c r="F100" s="109"/>
      <c r="G100" s="109"/>
    </row>
    <row r="101" spans="1:7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>
      <c r="A102" s="97" t="s">
        <v>91</v>
      </c>
      <c r="B102" s="98"/>
      <c r="C102" s="98"/>
      <c r="D102" s="96"/>
      <c r="E102" s="96"/>
      <c r="F102" s="96"/>
      <c r="G102" s="96"/>
    </row>
    <row r="103" spans="1:7">
      <c r="A103" s="99" t="str">
        <f>A5</f>
        <v>FOR THE MONTH ENDED  JUNE 2018</v>
      </c>
      <c r="B103" s="99"/>
      <c r="C103" s="99"/>
      <c r="D103" s="99"/>
      <c r="E103" s="96"/>
      <c r="F103" s="96"/>
      <c r="G103" s="96"/>
    </row>
    <row r="104" spans="1:7">
      <c r="A104" s="96"/>
      <c r="B104" s="96"/>
      <c r="C104" s="96"/>
      <c r="D104" s="96"/>
      <c r="E104" s="96"/>
      <c r="F104" s="96"/>
      <c r="G104" s="96"/>
    </row>
    <row r="105" spans="1:7">
      <c r="A105" s="96"/>
      <c r="B105" s="96"/>
      <c r="C105" s="96"/>
      <c r="D105" s="96"/>
      <c r="E105" s="96"/>
      <c r="F105" s="96"/>
      <c r="G105" s="96"/>
    </row>
    <row r="106" spans="1:7">
      <c r="A106" s="96" t="s">
        <v>86</v>
      </c>
      <c r="B106" s="96"/>
      <c r="C106" s="96"/>
      <c r="D106" s="96"/>
      <c r="E106" s="96"/>
      <c r="F106" s="96"/>
      <c r="G106" s="100">
        <f>G8</f>
        <v>842864.81</v>
      </c>
    </row>
    <row r="107" spans="1:7">
      <c r="A107" s="96"/>
      <c r="B107" s="96"/>
      <c r="C107" s="96"/>
      <c r="D107" s="96"/>
      <c r="E107" s="96"/>
      <c r="F107" s="96"/>
      <c r="G107" s="96"/>
    </row>
    <row r="108" spans="1:7">
      <c r="A108" s="96" t="s">
        <v>87</v>
      </c>
      <c r="B108" s="96"/>
      <c r="C108" s="96"/>
      <c r="D108" s="96"/>
      <c r="E108" s="96"/>
      <c r="F108" s="96"/>
      <c r="G108" s="100">
        <f>G10</f>
        <v>63710.330000000016</v>
      </c>
    </row>
    <row r="109" spans="1:7">
      <c r="A109" s="96"/>
      <c r="B109" s="96"/>
      <c r="C109" s="96"/>
      <c r="D109" s="96"/>
      <c r="E109" s="96"/>
      <c r="F109" s="96"/>
      <c r="G109" s="96"/>
    </row>
    <row r="110" spans="1:7">
      <c r="A110" s="96" t="s">
        <v>33</v>
      </c>
      <c r="B110" s="96"/>
      <c r="C110" s="96"/>
      <c r="D110" s="96"/>
      <c r="E110" s="96"/>
      <c r="F110" s="96"/>
      <c r="G110" s="101">
        <f>G12</f>
        <v>78026.2190142857</v>
      </c>
    </row>
    <row r="111" spans="1:7">
      <c r="A111" s="96"/>
      <c r="B111" s="96"/>
      <c r="C111" s="96"/>
      <c r="D111" s="96"/>
      <c r="E111" s="96"/>
      <c r="F111" s="96"/>
      <c r="G111" s="102"/>
    </row>
    <row r="112" spans="1:7">
      <c r="A112" s="96" t="s">
        <v>31</v>
      </c>
      <c r="B112" s="96"/>
      <c r="C112" s="96"/>
      <c r="D112" s="96"/>
      <c r="E112" s="96"/>
      <c r="F112" s="96"/>
      <c r="G112" s="100">
        <f>G80</f>
        <v>701128.26098571427</v>
      </c>
    </row>
    <row r="113" spans="1:7">
      <c r="A113" s="96"/>
      <c r="B113" s="96"/>
      <c r="C113" s="96"/>
      <c r="D113" s="96"/>
      <c r="E113" s="96"/>
      <c r="F113" s="96"/>
      <c r="G113" s="96"/>
    </row>
    <row r="114" spans="1:7">
      <c r="A114" s="96"/>
      <c r="B114" s="96"/>
      <c r="C114" s="96"/>
      <c r="D114" s="96"/>
      <c r="E114" s="96"/>
      <c r="F114" s="96"/>
      <c r="G114" s="103"/>
    </row>
    <row r="115" spans="1:7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35056.413049285715</v>
      </c>
    </row>
    <row r="116" spans="1:7">
      <c r="A116" s="104"/>
      <c r="B116" s="104"/>
      <c r="C116" s="104"/>
      <c r="D116" s="104"/>
      <c r="E116" s="104"/>
      <c r="F116" s="105"/>
      <c r="G116" s="122"/>
    </row>
    <row r="117" spans="1:7">
      <c r="A117" s="104" t="s">
        <v>105</v>
      </c>
      <c r="B117" s="104"/>
      <c r="C117" s="104"/>
      <c r="D117" s="104"/>
      <c r="E117" s="104"/>
      <c r="F117" s="105"/>
      <c r="G117" s="122">
        <f>+G115*0.12</f>
        <v>4206.7695659142855</v>
      </c>
    </row>
    <row r="118" spans="1:7">
      <c r="A118" s="104"/>
      <c r="B118" s="104"/>
      <c r="C118" s="104"/>
      <c r="D118" s="104"/>
      <c r="E118" s="104"/>
      <c r="F118" s="105"/>
      <c r="G118" s="122"/>
    </row>
    <row r="119" spans="1:7">
      <c r="A119" s="104" t="s">
        <v>106</v>
      </c>
      <c r="B119" s="104"/>
      <c r="C119" s="104"/>
      <c r="D119" s="104"/>
      <c r="E119" s="104"/>
      <c r="F119" s="105"/>
      <c r="G119" s="122">
        <f>+G115*0.1</f>
        <v>3505.6413049285716</v>
      </c>
    </row>
    <row r="120" spans="1:7">
      <c r="A120" s="96"/>
      <c r="B120" s="96"/>
      <c r="C120" s="96"/>
      <c r="D120" s="96"/>
      <c r="E120" s="96"/>
      <c r="F120" s="96"/>
      <c r="G120" s="100"/>
    </row>
    <row r="121" spans="1:7" ht="13.5" thickBot="1">
      <c r="A121" s="104" t="s">
        <v>142</v>
      </c>
      <c r="B121" s="104"/>
      <c r="C121" s="104"/>
      <c r="D121" s="104"/>
      <c r="E121" s="104"/>
      <c r="F121" s="104"/>
      <c r="G121" s="112">
        <f>G115+G117-G119</f>
        <v>35757.54131027143</v>
      </c>
    </row>
    <row r="122" spans="1:7" ht="13.5" thickTop="1">
      <c r="A122" s="96"/>
      <c r="B122" s="96"/>
      <c r="C122" s="96"/>
      <c r="D122" s="96"/>
      <c r="E122" s="96"/>
      <c r="F122" s="96"/>
      <c r="G122" s="100"/>
    </row>
    <row r="123" spans="1:7">
      <c r="A123" s="104"/>
      <c r="B123" s="104"/>
      <c r="C123" s="104"/>
      <c r="D123" s="104"/>
      <c r="E123" s="104"/>
      <c r="F123" s="104"/>
      <c r="G123" s="114"/>
    </row>
    <row r="124" spans="1:7">
      <c r="A124" s="104"/>
      <c r="B124" s="104"/>
      <c r="C124" s="104"/>
      <c r="D124" s="104"/>
      <c r="E124" s="104"/>
      <c r="F124" s="104"/>
      <c r="G124" s="114"/>
    </row>
    <row r="125" spans="1:7">
      <c r="A125" s="115" t="s">
        <v>93</v>
      </c>
      <c r="B125" s="104"/>
      <c r="C125" s="104"/>
      <c r="D125" s="104"/>
      <c r="E125" s="104"/>
      <c r="F125" s="104"/>
      <c r="G125" s="114"/>
    </row>
    <row r="126" spans="1:7">
      <c r="A126" s="104"/>
      <c r="B126" s="104"/>
      <c r="C126" s="104"/>
      <c r="D126" s="104"/>
      <c r="E126" s="104"/>
      <c r="F126" s="104"/>
      <c r="G126" s="114"/>
    </row>
    <row r="127" spans="1:7">
      <c r="A127" s="96"/>
      <c r="B127" s="96"/>
      <c r="C127" s="96"/>
      <c r="D127" s="96"/>
      <c r="E127" s="96"/>
      <c r="F127" s="96"/>
      <c r="G127" s="96"/>
    </row>
    <row r="128" spans="1:7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E26" sqref="E26"/>
    </sheetView>
  </sheetViews>
  <sheetFormatPr defaultRowHeight="15"/>
  <cols>
    <col min="4" max="4" width="10.85546875" customWidth="1"/>
    <col min="5" max="5" width="10.42578125" customWidth="1"/>
    <col min="6" max="6" width="11.85546875" customWidth="1"/>
  </cols>
  <sheetData>
    <row r="1" spans="1:6">
      <c r="A1" t="s">
        <v>120</v>
      </c>
    </row>
    <row r="2" spans="1:6">
      <c r="A2" t="s">
        <v>147</v>
      </c>
    </row>
    <row r="3" spans="1:6">
      <c r="A3" t="s">
        <v>121</v>
      </c>
    </row>
    <row r="5" spans="1:6">
      <c r="E5" t="s">
        <v>122</v>
      </c>
      <c r="F5" t="s">
        <v>97</v>
      </c>
    </row>
    <row r="6" spans="1:6">
      <c r="A6" t="s">
        <v>123</v>
      </c>
    </row>
    <row r="7" spans="1:6">
      <c r="A7" t="s">
        <v>124</v>
      </c>
    </row>
    <row r="8" spans="1:6">
      <c r="A8" t="s">
        <v>125</v>
      </c>
    </row>
    <row r="9" spans="1:6">
      <c r="A9" t="s">
        <v>126</v>
      </c>
    </row>
    <row r="10" spans="1:6">
      <c r="A10" t="s">
        <v>127</v>
      </c>
    </row>
    <row r="11" spans="1:6">
      <c r="A11" t="s">
        <v>128</v>
      </c>
    </row>
    <row r="12" spans="1:6">
      <c r="A12" t="s">
        <v>129</v>
      </c>
    </row>
    <row r="13" spans="1:6">
      <c r="A13" t="s">
        <v>130</v>
      </c>
    </row>
    <row r="14" spans="1:6">
      <c r="A14" t="s">
        <v>131</v>
      </c>
    </row>
    <row r="15" spans="1:6">
      <c r="A15" t="s">
        <v>132</v>
      </c>
    </row>
    <row r="16" spans="1:6">
      <c r="A16" t="s">
        <v>133</v>
      </c>
    </row>
    <row r="17" spans="1:6">
      <c r="A17" t="s">
        <v>134</v>
      </c>
    </row>
    <row r="19" spans="1:6">
      <c r="A19" t="s">
        <v>135</v>
      </c>
    </row>
    <row r="20" spans="1:6">
      <c r="A20" t="s">
        <v>136</v>
      </c>
    </row>
    <row r="21" spans="1:6">
      <c r="A21" t="s">
        <v>137</v>
      </c>
    </row>
    <row r="24" spans="1:6">
      <c r="A24" t="s">
        <v>45</v>
      </c>
      <c r="F24" s="155">
        <f>SUM(F7:F21)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SC</vt:lpstr>
      <vt:lpstr>M &amp; C VALERO</vt:lpstr>
      <vt:lpstr>van dough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2013-07-01T04:03:09Z</cp:lastPrinted>
  <dcterms:created xsi:type="dcterms:W3CDTF">2013-01-10T00:59:22Z</dcterms:created>
  <dcterms:modified xsi:type="dcterms:W3CDTF">2018-07-02T11:03:21Z</dcterms:modified>
</cp:coreProperties>
</file>