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MARIE's Report\Petty Cash\"/>
    </mc:Choice>
  </mc:AlternateContent>
  <bookViews>
    <workbookView xWindow="360" yWindow="1140" windowWidth="15015" windowHeight="6870" activeTab="3"/>
  </bookViews>
  <sheets>
    <sheet name="July31-Aug6" sheetId="63" r:id="rId1"/>
    <sheet name="Aug 8-15" sheetId="64" r:id="rId2"/>
    <sheet name="Aug 14-20" sheetId="66" r:id="rId3"/>
    <sheet name="Sheet1" sheetId="68" r:id="rId4"/>
    <sheet name="Aug24-29" sheetId="67" r:id="rId5"/>
  </sheets>
  <externalReferences>
    <externalReference r:id="rId6"/>
    <externalReference r:id="rId7"/>
    <externalReference r:id="rId8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  <definedName name="_xlnm.Print_Area" localSheetId="2">'Aug 14-20'!$A$1:$AG$33</definedName>
    <definedName name="_xlnm.Print_Area" localSheetId="1">'Aug 8-15'!$A$1:$AG$22</definedName>
    <definedName name="_xlnm.Print_Area" localSheetId="0">'July31-Aug6'!$A$1:$AG$26</definedName>
    <definedName name="_xlnm.Print_Area" localSheetId="3">Sheet1!$A$1:$AG$23</definedName>
  </definedNames>
  <calcPr calcId="152511"/>
</workbook>
</file>

<file path=xl/calcChain.xml><?xml version="1.0" encoding="utf-8"?>
<calcChain xmlns="http://schemas.openxmlformats.org/spreadsheetml/2006/main">
  <c r="N20" i="68" l="1"/>
  <c r="N21" i="68"/>
  <c r="AD16" i="68"/>
  <c r="AC16" i="68"/>
  <c r="AB16" i="68"/>
  <c r="AA16" i="68"/>
  <c r="Z16" i="68"/>
  <c r="Y16" i="68"/>
  <c r="X16" i="68"/>
  <c r="W16" i="68"/>
  <c r="V16" i="68"/>
  <c r="U16" i="68"/>
  <c r="T16" i="68"/>
  <c r="S16" i="68"/>
  <c r="R16" i="68"/>
  <c r="Q16" i="68"/>
  <c r="P16" i="68"/>
  <c r="L16" i="68"/>
  <c r="J16" i="68"/>
  <c r="I16" i="68"/>
  <c r="H16" i="68"/>
  <c r="O15" i="68"/>
  <c r="N15" i="68"/>
  <c r="M15" i="68"/>
  <c r="O14" i="68"/>
  <c r="N14" i="68"/>
  <c r="AE14" i="68" s="1"/>
  <c r="AF14" i="68" s="1"/>
  <c r="M14" i="68"/>
  <c r="O13" i="68"/>
  <c r="N13" i="68"/>
  <c r="M13" i="68"/>
  <c r="O12" i="68"/>
  <c r="N12" i="68"/>
  <c r="AE12" i="68" s="1"/>
  <c r="AF12" i="68" s="1"/>
  <c r="M12" i="68"/>
  <c r="O11" i="68"/>
  <c r="N11" i="68"/>
  <c r="M11" i="68"/>
  <c r="O10" i="68"/>
  <c r="N10" i="68"/>
  <c r="M10" i="68"/>
  <c r="O9" i="68"/>
  <c r="N9" i="68"/>
  <c r="M9" i="68"/>
  <c r="O8" i="68"/>
  <c r="N8" i="68"/>
  <c r="AE8" i="68" s="1"/>
  <c r="AF8" i="68" s="1"/>
  <c r="M8" i="68"/>
  <c r="O7" i="68"/>
  <c r="N7" i="68"/>
  <c r="M7" i="68"/>
  <c r="O6" i="68"/>
  <c r="N6" i="68"/>
  <c r="AE6" i="68" s="1"/>
  <c r="AF6" i="68" s="1"/>
  <c r="M6" i="68"/>
  <c r="O5" i="68"/>
  <c r="M5" i="68"/>
  <c r="K16" i="68"/>
  <c r="AE15" i="68" l="1"/>
  <c r="AF15" i="68" s="1"/>
  <c r="O16" i="68"/>
  <c r="AE10" i="68"/>
  <c r="AF10" i="68" s="1"/>
  <c r="M16" i="68"/>
  <c r="AE7" i="68"/>
  <c r="AF7" i="68" s="1"/>
  <c r="AE9" i="68"/>
  <c r="AF9" i="68" s="1"/>
  <c r="AE11" i="68"/>
  <c r="AF11" i="68" s="1"/>
  <c r="AE13" i="68"/>
  <c r="AF13" i="68" s="1"/>
  <c r="K18" i="68"/>
  <c r="N22" i="68" s="1"/>
  <c r="N5" i="68"/>
  <c r="K20" i="66"/>
  <c r="O21" i="66"/>
  <c r="N21" i="66"/>
  <c r="AF21" i="66" s="1"/>
  <c r="AG21" i="66" s="1"/>
  <c r="M21" i="66"/>
  <c r="O20" i="66"/>
  <c r="N20" i="66"/>
  <c r="AF20" i="66" s="1"/>
  <c r="AG20" i="66" s="1"/>
  <c r="M20" i="66"/>
  <c r="O19" i="66"/>
  <c r="N19" i="66"/>
  <c r="AF19" i="66" s="1"/>
  <c r="AG19" i="66" s="1"/>
  <c r="M19" i="66"/>
  <c r="O18" i="66"/>
  <c r="N18" i="66"/>
  <c r="M18" i="66"/>
  <c r="O17" i="66"/>
  <c r="N17" i="66"/>
  <c r="M17" i="66"/>
  <c r="O16" i="66"/>
  <c r="N16" i="66"/>
  <c r="AF16" i="66" s="1"/>
  <c r="AG16" i="66" s="1"/>
  <c r="M16" i="66"/>
  <c r="O15" i="66"/>
  <c r="N15" i="66"/>
  <c r="M15" i="66"/>
  <c r="AE5" i="68" l="1"/>
  <c r="N16" i="68"/>
  <c r="AF18" i="66"/>
  <c r="AG18" i="66" s="1"/>
  <c r="AF15" i="66"/>
  <c r="AG15" i="66" s="1"/>
  <c r="AF17" i="66"/>
  <c r="AG17" i="66" s="1"/>
  <c r="K28" i="67"/>
  <c r="H22" i="67"/>
  <c r="I22" i="67"/>
  <c r="J6" i="67"/>
  <c r="J15" i="67"/>
  <c r="J22" i="67"/>
  <c r="K5" i="67"/>
  <c r="K22" i="67"/>
  <c r="K24" i="67"/>
  <c r="K29" i="67"/>
  <c r="N27" i="67"/>
  <c r="N26" i="67"/>
  <c r="N28" i="67"/>
  <c r="N5" i="67"/>
  <c r="O5" i="67"/>
  <c r="AE5" i="67"/>
  <c r="N6" i="67"/>
  <c r="O6" i="67"/>
  <c r="AE6" i="67"/>
  <c r="N7" i="67"/>
  <c r="O7" i="67"/>
  <c r="AE7" i="67"/>
  <c r="N8" i="67"/>
  <c r="O8" i="67"/>
  <c r="AE8" i="67"/>
  <c r="N9" i="67"/>
  <c r="O9" i="67"/>
  <c r="AE9" i="67"/>
  <c r="N10" i="67"/>
  <c r="O10" i="67"/>
  <c r="AE10" i="67"/>
  <c r="N11" i="67"/>
  <c r="O11" i="67"/>
  <c r="AE11" i="67"/>
  <c r="N12" i="67"/>
  <c r="O12" i="67"/>
  <c r="AE12" i="67"/>
  <c r="N13" i="67"/>
  <c r="O13" i="67"/>
  <c r="AE13" i="67"/>
  <c r="N14" i="67"/>
  <c r="O14" i="67"/>
  <c r="AE14" i="67"/>
  <c r="N15" i="67"/>
  <c r="O15" i="67"/>
  <c r="AE15" i="67"/>
  <c r="N16" i="67"/>
  <c r="O16" i="67"/>
  <c r="AE16" i="67"/>
  <c r="N17" i="67"/>
  <c r="O17" i="67"/>
  <c r="AE17" i="67"/>
  <c r="N18" i="67"/>
  <c r="O18" i="67"/>
  <c r="AE18" i="67"/>
  <c r="N19" i="67"/>
  <c r="O19" i="67"/>
  <c r="AE19" i="67"/>
  <c r="N20" i="67"/>
  <c r="O20" i="67"/>
  <c r="AE20" i="67"/>
  <c r="N21" i="67"/>
  <c r="O21" i="67"/>
  <c r="AE21" i="67"/>
  <c r="AE22" i="67"/>
  <c r="AE24" i="67"/>
  <c r="AF5" i="67"/>
  <c r="AF6" i="67"/>
  <c r="AF7" i="67"/>
  <c r="AF8" i="67"/>
  <c r="AF9" i="67"/>
  <c r="AF10" i="67"/>
  <c r="AF11" i="67"/>
  <c r="AF12" i="67"/>
  <c r="AF13" i="67"/>
  <c r="AF14" i="67"/>
  <c r="AF15" i="67"/>
  <c r="AF16" i="67"/>
  <c r="AF17" i="67"/>
  <c r="AF18" i="67"/>
  <c r="AF20" i="67"/>
  <c r="AF21" i="67"/>
  <c r="AF22" i="67"/>
  <c r="AD22" i="67"/>
  <c r="AC22" i="67"/>
  <c r="AB22" i="67"/>
  <c r="AA22" i="67"/>
  <c r="Z22" i="67"/>
  <c r="Y22" i="67"/>
  <c r="X22" i="67"/>
  <c r="W22" i="67"/>
  <c r="V22" i="67"/>
  <c r="U22" i="67"/>
  <c r="T22" i="67"/>
  <c r="S22" i="67"/>
  <c r="R22" i="67"/>
  <c r="Q22" i="67"/>
  <c r="P22" i="67"/>
  <c r="O22" i="67"/>
  <c r="N22" i="67"/>
  <c r="M5" i="67"/>
  <c r="M6" i="67"/>
  <c r="M7" i="67"/>
  <c r="M8" i="67"/>
  <c r="M9" i="67"/>
  <c r="M10" i="67"/>
  <c r="M11" i="67"/>
  <c r="M12" i="67"/>
  <c r="M13" i="67"/>
  <c r="M14" i="67"/>
  <c r="M15" i="67"/>
  <c r="M16" i="67"/>
  <c r="M17" i="67"/>
  <c r="M18" i="67"/>
  <c r="M19" i="67"/>
  <c r="M20" i="67"/>
  <c r="M21" i="67"/>
  <c r="M22" i="67"/>
  <c r="L22" i="67"/>
  <c r="AF32" i="66"/>
  <c r="K26" i="66"/>
  <c r="N26" i="66" s="1"/>
  <c r="O25" i="66"/>
  <c r="N25" i="66"/>
  <c r="O24" i="66"/>
  <c r="N24" i="66"/>
  <c r="O23" i="66"/>
  <c r="N23" i="66"/>
  <c r="O22" i="66"/>
  <c r="N22" i="66"/>
  <c r="O14" i="66"/>
  <c r="N14" i="66"/>
  <c r="O13" i="66"/>
  <c r="N13" i="66"/>
  <c r="O12" i="66"/>
  <c r="N12" i="66"/>
  <c r="O11" i="66"/>
  <c r="N11" i="66"/>
  <c r="M23" i="66"/>
  <c r="M22" i="66"/>
  <c r="M14" i="66"/>
  <c r="M13" i="66"/>
  <c r="M12" i="66"/>
  <c r="M11" i="66"/>
  <c r="AF22" i="64"/>
  <c r="N13" i="64"/>
  <c r="O13" i="64"/>
  <c r="AF13" i="64"/>
  <c r="AG13" i="64"/>
  <c r="M13" i="64"/>
  <c r="N12" i="64"/>
  <c r="O12" i="64"/>
  <c r="AF12" i="64"/>
  <c r="AG12" i="64"/>
  <c r="M12" i="64"/>
  <c r="N11" i="64"/>
  <c r="O11" i="64"/>
  <c r="AF11" i="64"/>
  <c r="AG11" i="64"/>
  <c r="M11" i="64"/>
  <c r="N10" i="64"/>
  <c r="O10" i="64"/>
  <c r="AF10" i="64"/>
  <c r="AG10" i="64"/>
  <c r="M10" i="64"/>
  <c r="N9" i="64"/>
  <c r="O9" i="64"/>
  <c r="AF9" i="64"/>
  <c r="AG9" i="64"/>
  <c r="M9" i="64"/>
  <c r="N8" i="64"/>
  <c r="O8" i="64"/>
  <c r="AF8" i="64"/>
  <c r="AG8" i="64"/>
  <c r="M8" i="64"/>
  <c r="N7" i="64"/>
  <c r="O7" i="64"/>
  <c r="AF7" i="64"/>
  <c r="AG7" i="64"/>
  <c r="M7" i="64"/>
  <c r="N6" i="64"/>
  <c r="O6" i="64"/>
  <c r="AF6" i="64"/>
  <c r="AG6" i="64"/>
  <c r="M6" i="64"/>
  <c r="N30" i="63"/>
  <c r="N29" i="63"/>
  <c r="N28" i="63"/>
  <c r="K25" i="63"/>
  <c r="N18" i="63"/>
  <c r="O18" i="63"/>
  <c r="AF18" i="63"/>
  <c r="AG18" i="63"/>
  <c r="M18" i="63"/>
  <c r="N17" i="63"/>
  <c r="O17" i="63"/>
  <c r="AF17" i="63"/>
  <c r="AG17" i="63"/>
  <c r="M17" i="63"/>
  <c r="N16" i="63"/>
  <c r="O16" i="63"/>
  <c r="AF16" i="63"/>
  <c r="AG16" i="63"/>
  <c r="M16" i="63"/>
  <c r="N15" i="63"/>
  <c r="O15" i="63"/>
  <c r="AF15" i="63"/>
  <c r="AG15" i="63"/>
  <c r="M15" i="63"/>
  <c r="H26" i="66"/>
  <c r="I26" i="66"/>
  <c r="J26" i="66"/>
  <c r="N5" i="66"/>
  <c r="O5" i="66"/>
  <c r="AF5" i="66" s="1"/>
  <c r="N6" i="66"/>
  <c r="O6" i="66"/>
  <c r="AF6" i="66" s="1"/>
  <c r="AG6" i="66" s="1"/>
  <c r="N7" i="66"/>
  <c r="O7" i="66"/>
  <c r="N8" i="66"/>
  <c r="O8" i="66"/>
  <c r="AF8" i="66" s="1"/>
  <c r="AG8" i="66" s="1"/>
  <c r="N9" i="66"/>
  <c r="O9" i="66"/>
  <c r="N10" i="66"/>
  <c r="O10" i="66"/>
  <c r="AF25" i="66"/>
  <c r="AG25" i="66"/>
  <c r="AE26" i="66"/>
  <c r="AD26" i="66"/>
  <c r="AC26" i="66"/>
  <c r="AB26" i="66"/>
  <c r="AA26" i="66"/>
  <c r="Z26" i="66"/>
  <c r="Y26" i="66"/>
  <c r="X26" i="66"/>
  <c r="W26" i="66"/>
  <c r="V26" i="66"/>
  <c r="U26" i="66"/>
  <c r="T26" i="66"/>
  <c r="S26" i="66"/>
  <c r="R26" i="66"/>
  <c r="Q26" i="66"/>
  <c r="P26" i="66"/>
  <c r="M5" i="66"/>
  <c r="M6" i="66"/>
  <c r="M7" i="66"/>
  <c r="M8" i="66"/>
  <c r="M9" i="66"/>
  <c r="M10" i="66"/>
  <c r="M24" i="66"/>
  <c r="M25" i="66"/>
  <c r="L26" i="66"/>
  <c r="H16" i="64"/>
  <c r="I16" i="64"/>
  <c r="J16" i="64"/>
  <c r="K16" i="64"/>
  <c r="K18" i="64"/>
  <c r="K20" i="64"/>
  <c r="N5" i="64"/>
  <c r="O5" i="64"/>
  <c r="AF5" i="64"/>
  <c r="N14" i="64"/>
  <c r="O14" i="64"/>
  <c r="AF14" i="64"/>
  <c r="N15" i="64"/>
  <c r="O15" i="64"/>
  <c r="AF15" i="64"/>
  <c r="AF16" i="64"/>
  <c r="AF18" i="64"/>
  <c r="AG5" i="64"/>
  <c r="AG14" i="64"/>
  <c r="AG15" i="64"/>
  <c r="AG16" i="64"/>
  <c r="AE16" i="64"/>
  <c r="AD16" i="64"/>
  <c r="AC16" i="64"/>
  <c r="AB16" i="64"/>
  <c r="AA16" i="64"/>
  <c r="Z16" i="64"/>
  <c r="Y16" i="64"/>
  <c r="X16" i="64"/>
  <c r="W16" i="64"/>
  <c r="V16" i="64"/>
  <c r="U16" i="64"/>
  <c r="T16" i="64"/>
  <c r="S16" i="64"/>
  <c r="R16" i="64"/>
  <c r="Q16" i="64"/>
  <c r="P16" i="64"/>
  <c r="O16" i="64"/>
  <c r="N16" i="64"/>
  <c r="M5" i="64"/>
  <c r="M14" i="64"/>
  <c r="M15" i="64"/>
  <c r="M16" i="64"/>
  <c r="L16" i="64"/>
  <c r="N19" i="63"/>
  <c r="O19" i="63"/>
  <c r="AF19" i="63"/>
  <c r="AG19" i="63"/>
  <c r="M19" i="63"/>
  <c r="N14" i="63"/>
  <c r="O14" i="63"/>
  <c r="AF14" i="63"/>
  <c r="AG14" i="63"/>
  <c r="M14" i="63"/>
  <c r="N13" i="63"/>
  <c r="O13" i="63"/>
  <c r="AF13" i="63"/>
  <c r="AG13" i="63"/>
  <c r="M13" i="63"/>
  <c r="K21" i="63"/>
  <c r="H21" i="63"/>
  <c r="I21" i="63"/>
  <c r="J21" i="63"/>
  <c r="K23" i="63"/>
  <c r="N12" i="63"/>
  <c r="O12" i="63"/>
  <c r="AF12" i="63"/>
  <c r="AG12" i="63"/>
  <c r="M12" i="63"/>
  <c r="N11" i="63"/>
  <c r="O11" i="63"/>
  <c r="AF11" i="63"/>
  <c r="AG11" i="63"/>
  <c r="M11" i="63"/>
  <c r="N10" i="63"/>
  <c r="O10" i="63"/>
  <c r="AF10" i="63"/>
  <c r="AG10" i="63"/>
  <c r="M10" i="63"/>
  <c r="N8" i="63"/>
  <c r="O8" i="63"/>
  <c r="AF8" i="63"/>
  <c r="AG8" i="63"/>
  <c r="M8" i="63"/>
  <c r="M20" i="63"/>
  <c r="N20" i="63"/>
  <c r="O20" i="63"/>
  <c r="AF20" i="63"/>
  <c r="AG20" i="63"/>
  <c r="L21" i="63"/>
  <c r="M5" i="63"/>
  <c r="M6" i="63"/>
  <c r="M7" i="63"/>
  <c r="M9" i="63"/>
  <c r="M21" i="63"/>
  <c r="N5" i="63"/>
  <c r="N6" i="63"/>
  <c r="N7" i="63"/>
  <c r="N9" i="63"/>
  <c r="N21" i="63"/>
  <c r="O5" i="63"/>
  <c r="O6" i="63"/>
  <c r="O7" i="63"/>
  <c r="O9" i="63"/>
  <c r="O21" i="63"/>
  <c r="P21" i="63"/>
  <c r="Q21" i="63"/>
  <c r="R21" i="63"/>
  <c r="S21" i="63"/>
  <c r="T21" i="63"/>
  <c r="U21" i="63"/>
  <c r="V21" i="63"/>
  <c r="W21" i="63"/>
  <c r="X21" i="63"/>
  <c r="Y21" i="63"/>
  <c r="Z21" i="63"/>
  <c r="AA21" i="63"/>
  <c r="AB21" i="63"/>
  <c r="AC21" i="63"/>
  <c r="AD21" i="63"/>
  <c r="AE21" i="63"/>
  <c r="AF5" i="63"/>
  <c r="AF6" i="63"/>
  <c r="AF7" i="63"/>
  <c r="AF9" i="63"/>
  <c r="AF21" i="63"/>
  <c r="AG5" i="63"/>
  <c r="AG6" i="63"/>
  <c r="AG7" i="63"/>
  <c r="AG9" i="63"/>
  <c r="AG21" i="63"/>
  <c r="AF23" i="63"/>
  <c r="AE16" i="68" l="1"/>
  <c r="AE18" i="68" s="1"/>
  <c r="AF5" i="68"/>
  <c r="AF16" i="68" s="1"/>
  <c r="O26" i="66"/>
  <c r="AF10" i="66"/>
  <c r="AG10" i="66" s="1"/>
  <c r="AF9" i="66"/>
  <c r="AG9" i="66" s="1"/>
  <c r="M26" i="66"/>
  <c r="AF7" i="66"/>
  <c r="AG7" i="66" s="1"/>
  <c r="AF11" i="66"/>
  <c r="AG11" i="66" s="1"/>
  <c r="AF12" i="66"/>
  <c r="AG12" i="66" s="1"/>
  <c r="AF13" i="66"/>
  <c r="AG13" i="66" s="1"/>
  <c r="AF22" i="66"/>
  <c r="AG22" i="66" s="1"/>
  <c r="AF23" i="66"/>
  <c r="AG23" i="66" s="1"/>
  <c r="AF24" i="66"/>
  <c r="AG24" i="66" s="1"/>
  <c r="K28" i="66"/>
  <c r="AF14" i="66"/>
  <c r="AG14" i="66" s="1"/>
  <c r="AG5" i="66"/>
  <c r="AG26" i="66" l="1"/>
  <c r="AF26" i="66"/>
  <c r="AF28" i="66" s="1"/>
</calcChain>
</file>

<file path=xl/sharedStrings.xml><?xml version="1.0" encoding="utf-8"?>
<sst xmlns="http://schemas.openxmlformats.org/spreadsheetml/2006/main" count="393" uniqueCount="155">
  <si>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</si>
  <si>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</si>
  <si>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</si>
  <si>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</si>
  <si>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</si>
  <si>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</si>
  <si>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</si>
  <si>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</si>
  <si>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</si>
  <si>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</si>
  <si>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</si>
  <si>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</si>
  <si>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</si>
  <si>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</si>
  <si>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</si>
  <si>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</si>
  <si>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</si>
  <si>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</si>
  <si>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</si>
  <si>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</si>
  <si>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</si>
  <si>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</si>
  <si>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</si>
  <si>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</si>
  <si>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</si>
  <si>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</si>
  <si>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</si>
  <si>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</si>
  <si>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</si>
  <si>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</si>
  <si>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</si>
  <si>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</si>
  <si>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</si>
  <si>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</si>
  <si>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</si>
  <si>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</si>
  <si>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</si>
  <si>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Valero St Makati City</t>
  </si>
  <si>
    <t>Tube Ice</t>
  </si>
  <si>
    <t>Rustans Supercenters Inc</t>
  </si>
  <si>
    <t>201-160-401-002</t>
  </si>
  <si>
    <t>Angelo Sanchez</t>
  </si>
  <si>
    <t>Marikina City</t>
  </si>
  <si>
    <t>235-048-461-000</t>
  </si>
  <si>
    <t>477-928-673-004</t>
  </si>
  <si>
    <t>Almas Cold Cuts Store</t>
  </si>
  <si>
    <t>000-148-285-000</t>
  </si>
  <si>
    <t>Loaf Bread</t>
  </si>
  <si>
    <t>The Landmark Corporation</t>
  </si>
  <si>
    <t>Ayala, Makati City</t>
  </si>
  <si>
    <t>Mejora Ferro Corp. (Ministop)</t>
  </si>
  <si>
    <t>G/F Valero Car Park Bldg. Velero Makati</t>
  </si>
  <si>
    <t xml:space="preserve">Lettuce,Squash,Basil </t>
  </si>
  <si>
    <t>Belong Enterprise</t>
  </si>
  <si>
    <t>180-192-125-001</t>
  </si>
  <si>
    <t>Banana</t>
  </si>
  <si>
    <t>Vegetable Oil,Fresh Milk,Penne Pasta,Anchovies,DM Tidbits</t>
  </si>
  <si>
    <t>Grab Delivery</t>
  </si>
  <si>
    <t>Check Delivery</t>
  </si>
  <si>
    <t>Dishwashing Liquid &amp; Paste</t>
  </si>
  <si>
    <t>Hungarian Sausage</t>
  </si>
  <si>
    <t>Evalies Meatshop</t>
  </si>
  <si>
    <t>139-599-310-000</t>
  </si>
  <si>
    <t>French Fries &amp; Bacon</t>
  </si>
  <si>
    <t>Transpo purchased kitchen stocks in Marikina</t>
  </si>
  <si>
    <t>Guadalupe Public Market</t>
  </si>
  <si>
    <t>25 kilo of Rice</t>
  </si>
  <si>
    <t>Glenn Biarcal</t>
  </si>
  <si>
    <t>Transpo purchased Rice</t>
  </si>
  <si>
    <t>Check Delivery c/o F. Sampaga</t>
  </si>
  <si>
    <t>Pan De Manila Food Co. Inc</t>
  </si>
  <si>
    <t>205-120-687-108</t>
  </si>
  <si>
    <t>Bottled Sardines</t>
  </si>
  <si>
    <t>For the Month Ended:  July 31-Aug 06 (5000 Budget)</t>
  </si>
  <si>
    <t>Spaghetti,Sardines,Anchovies,Oil,Baguette Bread</t>
  </si>
  <si>
    <t>For the Month Ended: Aug 8-15 (6,000 Budget)</t>
  </si>
  <si>
    <t>Spaghetti Pasta, AP Cream,Anchovies,Corn</t>
  </si>
  <si>
    <t>Transpo going to Guadalupe Market purchased kitchen stocks</t>
  </si>
  <si>
    <t>Mercury Drug Corporation</t>
  </si>
  <si>
    <t>Nescafe Classic,Alska Evap,Kraft Cheese</t>
  </si>
  <si>
    <t>Joyce Dino</t>
  </si>
  <si>
    <t>Transpo Fare</t>
  </si>
  <si>
    <t>Check Delivery c/o Sampaga</t>
  </si>
  <si>
    <t>Fresh Milk,AP Cream,Butter,Sardines,Golden Fiesta Oil,Olive Oil,Penne Pasta</t>
  </si>
  <si>
    <t>Cerveza Negra</t>
  </si>
  <si>
    <t>Budget</t>
  </si>
  <si>
    <t>For the Month Ended:  Aug 17-22 (9,600 k Budget)</t>
  </si>
  <si>
    <t>Sm Supermarket Jazz</t>
  </si>
  <si>
    <t>Whole Chicken</t>
  </si>
  <si>
    <t>PMKS Marketing</t>
  </si>
  <si>
    <t>215-105-789-000</t>
  </si>
  <si>
    <t>Tangkas Navotas City</t>
  </si>
  <si>
    <t>25 kilos Rice</t>
  </si>
  <si>
    <t>Shah Bonn Jadd</t>
  </si>
  <si>
    <t>Pizza Box &amp; C750 Canester</t>
  </si>
  <si>
    <t>Transpo purchased Packaging Materials</t>
  </si>
  <si>
    <t>Cheese Powder,Brown Sugar, Baguette Bread</t>
  </si>
  <si>
    <t>For the Month Ended:  July 2020</t>
  </si>
  <si>
    <t>Olive oil, F. Milk, Mayo, Broas, Sardines, Salt and choco bar.</t>
  </si>
  <si>
    <t>Red bell pepper</t>
  </si>
  <si>
    <t>Belong Enterprise (7-Eleven)</t>
  </si>
  <si>
    <t>Valero, Makati City</t>
  </si>
  <si>
    <t>Transpo &amp; parking fee c/o purchase of kitchen stocks.</t>
  </si>
  <si>
    <t>Alma's Cold Cuts Store</t>
  </si>
  <si>
    <t>195 J.P. Rizal St. San Roque, Marikina City</t>
  </si>
  <si>
    <t>Mozza cheese &amp; bacon ends</t>
  </si>
  <si>
    <t>Evarlie's Meatshop</t>
  </si>
  <si>
    <t>165 J.P. Rizal St. San Roque, Marikina City</t>
  </si>
  <si>
    <t>French fries</t>
  </si>
  <si>
    <t>Transpo going to Marikina c/o purchased of kitchen stocks.</t>
  </si>
  <si>
    <t>Baguette bread</t>
  </si>
  <si>
    <t>Office Warehouse Inc.</t>
  </si>
  <si>
    <t>200-492-462-008</t>
  </si>
  <si>
    <t>Celo tape, pen and petty cash voucher</t>
  </si>
  <si>
    <t xml:space="preserve">Fresh basil </t>
  </si>
  <si>
    <t>Palm oil</t>
  </si>
  <si>
    <t>Grab Express</t>
  </si>
  <si>
    <t>Del. Fee c/o sampaga check &amp; petty cash</t>
  </si>
  <si>
    <t>Eric Labadan</t>
  </si>
  <si>
    <t>Traspo going to guadalupe market</t>
  </si>
  <si>
    <t>Guadalupe Market</t>
  </si>
  <si>
    <t>Sili finger</t>
  </si>
  <si>
    <t>SHAH-BONN-JADD Gen. Mechandise</t>
  </si>
  <si>
    <t>Guadalupe, Makati City</t>
  </si>
  <si>
    <t>Packaging supplies</t>
  </si>
  <si>
    <t>Prepared by: Joyce Dino</t>
  </si>
  <si>
    <t>PCF 1</t>
  </si>
  <si>
    <t>FOOD</t>
  </si>
  <si>
    <t>PCF 2</t>
  </si>
  <si>
    <t>NON FOOD</t>
  </si>
  <si>
    <t>TOT</t>
  </si>
  <si>
    <t>TOTAL</t>
  </si>
  <si>
    <t>COH</t>
  </si>
  <si>
    <t>Super Shopping Market Inc</t>
  </si>
  <si>
    <t>Lolo Rosa Lettuce</t>
  </si>
  <si>
    <t>Transpo purchased Lettuce</t>
  </si>
  <si>
    <t>Officewarehouse Inc</t>
  </si>
  <si>
    <t>Inkcartridge</t>
  </si>
  <si>
    <t>Coffee Bean Delivery Charged</t>
  </si>
  <si>
    <t>Puregold Price Club Inc</t>
  </si>
  <si>
    <t>Capers,Tomato Paste,Spaghetti &amp; Others</t>
  </si>
  <si>
    <t>Squash,Potato,Carrots</t>
  </si>
  <si>
    <t>For the Month Ended: August  2020</t>
  </si>
  <si>
    <t>201-160-401-050</t>
  </si>
  <si>
    <t>Makati City</t>
  </si>
  <si>
    <t>Loaf Bread,Baguette Bread &amp; Butter</t>
  </si>
  <si>
    <t>Native Tomato</t>
  </si>
  <si>
    <t>Spaghetti,Cooking Oil,Fresh Milk,Tomato Sauce</t>
  </si>
  <si>
    <t>Sauce Cup &amp; Table Napkin</t>
  </si>
  <si>
    <t>Spaghetti,Fiesta Oil,Molinera,Elbow Macaroni,Pineapple Tidbits</t>
  </si>
  <si>
    <t>Romaine Lettuce</t>
  </si>
  <si>
    <t>Universal Finest Distribution</t>
  </si>
  <si>
    <t>009-804-586-000</t>
  </si>
  <si>
    <t>Pasig City</t>
  </si>
  <si>
    <t>Beef Shortplate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</si>
</sst>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;@"/>
    <numFmt numFmtId="165" formatCode="[$-409]d\-mmm\-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0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0" fontId="2" fillId="0" borderId="0" xfId="15" applyFont="1" applyFill="1" applyAlignment="1">
      <alignment vertical="center" wrapText="1"/>
    </xf>
    <xf numFmtId="0" fontId="2" fillId="2" borderId="0" xfId="15" applyFont="1" applyFill="1"/>
    <xf numFmtId="164" fontId="3" fillId="0" borderId="0" xfId="15" applyNumberFormat="1" applyFont="1" applyFill="1" applyAlignment="1">
      <alignment horizontal="left"/>
    </xf>
    <xf numFmtId="0" fontId="3" fillId="0" borderId="0" xfId="15" applyNumberFormat="1" applyFont="1" applyFill="1" applyAlignment="1">
      <alignment horizontal="left"/>
    </xf>
    <xf numFmtId="49" fontId="3" fillId="0" borderId="0" xfId="15" applyNumberFormat="1" applyFont="1" applyFill="1"/>
    <xf numFmtId="0" fontId="7" fillId="0" borderId="0" xfId="2" applyNumberFormat="1" applyFont="1" applyFill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43" fontId="3" fillId="0" borderId="6" xfId="2" applyFont="1" applyFill="1" applyBorder="1" applyAlignment="1">
      <alignment horizontal="center" vertical="center" wrapText="1"/>
    </xf>
    <xf numFmtId="43" fontId="3" fillId="0" borderId="2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2" applyFont="1" applyFill="1" applyBorder="1" applyAlignment="1">
      <alignment wrapText="1"/>
    </xf>
    <xf numFmtId="43" fontId="2" fillId="2" borderId="0" xfId="15" applyNumberFormat="1" applyFont="1" applyFill="1" applyAlignment="1">
      <alignment wrapText="1"/>
    </xf>
    <xf numFmtId="0" fontId="2" fillId="2" borderId="4" xfId="15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/>
    </xf>
    <xf numFmtId="49" fontId="2" fillId="2" borderId="2" xfId="15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5" xfId="2" applyFont="1" applyFill="1" applyBorder="1"/>
    <xf numFmtId="0" fontId="2" fillId="2" borderId="2" xfId="0" applyFont="1" applyFill="1" applyBorder="1" applyAlignment="1">
      <alignment horizontal="center" vertical="center"/>
    </xf>
    <xf numFmtId="43" fontId="2" fillId="0" borderId="2" xfId="2" applyFont="1" applyFill="1" applyBorder="1"/>
    <xf numFmtId="43" fontId="3" fillId="2" borderId="2" xfId="2" applyFont="1" applyFill="1" applyBorder="1"/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0" fontId="3" fillId="0" borderId="1" xfId="15" applyFont="1" applyFill="1" applyBorder="1"/>
    <xf numFmtId="0" fontId="3" fillId="0" borderId="1" xfId="15" applyFont="1" applyFill="1" applyBorder="1" applyAlignment="1">
      <alignment horizontal="left"/>
    </xf>
    <xf numFmtId="0" fontId="3" fillId="0" borderId="1" xfId="15" applyFont="1" applyFill="1" applyBorder="1" applyAlignment="1">
      <alignment horizontal="center"/>
    </xf>
    <xf numFmtId="43" fontId="3" fillId="0" borderId="1" xfId="1" applyFont="1" applyFill="1" applyBorder="1"/>
    <xf numFmtId="43" fontId="8" fillId="0" borderId="0" xfId="2" applyFont="1" applyFill="1" applyBorder="1"/>
    <xf numFmtId="43" fontId="8" fillId="0" borderId="0" xfId="2" applyFont="1" applyFill="1"/>
    <xf numFmtId="0" fontId="9" fillId="0" borderId="0" xfId="15" applyFont="1" applyFill="1"/>
    <xf numFmtId="164" fontId="9" fillId="0" borderId="0" xfId="15" applyNumberFormat="1" applyFont="1" applyFill="1" applyAlignment="1">
      <alignment horizontal="left"/>
    </xf>
    <xf numFmtId="0" fontId="8" fillId="0" borderId="0" xfId="15" applyNumberFormat="1" applyFont="1" applyFill="1" applyAlignment="1">
      <alignment horizontal="center"/>
    </xf>
    <xf numFmtId="0" fontId="9" fillId="0" borderId="0" xfId="15" applyNumberFormat="1" applyFont="1" applyFill="1" applyAlignment="1">
      <alignment horizontal="left"/>
    </xf>
    <xf numFmtId="0" fontId="8" fillId="0" borderId="0" xfId="15" applyFont="1" applyFill="1" applyAlignment="1">
      <alignment horizontal="left"/>
    </xf>
    <xf numFmtId="0" fontId="8" fillId="0" borderId="0" xfId="15" applyFont="1" applyFill="1" applyAlignment="1">
      <alignment horizontal="center"/>
    </xf>
    <xf numFmtId="0" fontId="8" fillId="0" borderId="0" xfId="15" applyFont="1" applyFill="1"/>
    <xf numFmtId="43" fontId="8" fillId="0" borderId="0" xfId="2" applyFont="1" applyFill="1" applyAlignment="1">
      <alignment horizontal="right"/>
    </xf>
    <xf numFmtId="164" fontId="9" fillId="3" borderId="0" xfId="15" applyNumberFormat="1" applyFont="1" applyFill="1" applyAlignment="1">
      <alignment horizontal="left"/>
    </xf>
    <xf numFmtId="0" fontId="9" fillId="3" borderId="0" xfId="15" applyNumberFormat="1" applyFont="1" applyFill="1" applyAlignment="1">
      <alignment horizontal="left"/>
    </xf>
    <xf numFmtId="49" fontId="9" fillId="3" borderId="0" xfId="15" applyNumberFormat="1" applyFont="1" applyFill="1"/>
    <xf numFmtId="0" fontId="8" fillId="3" borderId="0" xfId="15" applyFont="1" applyFill="1" applyAlignment="1">
      <alignment horizontal="left"/>
    </xf>
    <xf numFmtId="0" fontId="2" fillId="3" borderId="0" xfId="15" applyFont="1" applyFill="1" applyAlignment="1">
      <alignment horizontal="left"/>
    </xf>
    <xf numFmtId="0" fontId="2" fillId="3" borderId="0" xfId="15" applyFont="1" applyFill="1" applyAlignment="1">
      <alignment horizontal="center"/>
    </xf>
    <xf numFmtId="0" fontId="8" fillId="3" borderId="0" xfId="15" applyFont="1" applyFill="1" applyAlignment="1">
      <alignment horizontal="center"/>
    </xf>
    <xf numFmtId="43" fontId="3" fillId="0" borderId="0" xfId="2" applyFont="1" applyFill="1" applyBorder="1" applyAlignment="1"/>
    <xf numFmtId="43" fontId="3" fillId="0" borderId="0" xfId="2" applyFont="1" applyFill="1" applyBorder="1"/>
    <xf numFmtId="43" fontId="3" fillId="0" borderId="0" xfId="2" applyFont="1" applyFill="1"/>
    <xf numFmtId="43" fontId="3" fillId="0" borderId="0" xfId="2" applyFont="1" applyFill="1" applyBorder="1" applyAlignment="1">
      <alignment horizontal="center"/>
    </xf>
    <xf numFmtId="13" fontId="2" fillId="2" borderId="2" xfId="2" applyNumberFormat="1" applyFont="1" applyFill="1" applyBorder="1" applyAlignment="1">
      <alignment wrapText="1"/>
    </xf>
  </cellXfs>
  <cellStyles count="30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Excel Built-in Normal" xfId="14"/>
    <cellStyle name="Normal" xfId="0" builtinId="0"/>
    <cellStyle name="Normal 10" xfId="15"/>
    <cellStyle name="Normal 2" xfId="16"/>
    <cellStyle name="Normal 2 2" xfId="17"/>
    <cellStyle name="Normal 32" xfId="18"/>
    <cellStyle name="Normal 33" xfId="19"/>
    <cellStyle name="Normal 34" xfId="20"/>
    <cellStyle name="Normal 35" xfId="21"/>
    <cellStyle name="Normal 36" xfId="22"/>
    <cellStyle name="Normal 37" xfId="23"/>
    <cellStyle name="Normal 7 3" xfId="24"/>
    <cellStyle name="Normal 7 4" xfId="25"/>
    <cellStyle name="Normal 7 5" xfId="26"/>
    <cellStyle name="Normal 8" xfId="27"/>
    <cellStyle name="Normal 9" xfId="28"/>
    <cellStyle name="Percent 2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Ortigas\Ortigas%202006\Ortigas%20May\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osh%20april%202006\ortigas\04%20SALES%20RECO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workbookViewId="0">
      <pane ySplit="4" topLeftCell="A8" activePane="bottomLeft" state="frozen"/>
      <selection pane="bottomLeft" activeCell="D12" sqref="D12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9.570312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10.7109375" style="2" customWidth="1"/>
    <col min="33" max="33" width="8.85546875" style="1" customWidth="1"/>
    <col min="34" max="16384" width="9.140625" style="1"/>
  </cols>
  <sheetData>
    <row r="1" spans="1:33" ht="12" customHeight="1" x14ac:dyDescent="0.2">
      <c r="A1" s="48" t="s">
        <v>30</v>
      </c>
      <c r="B1" s="49"/>
      <c r="C1" s="50"/>
      <c r="D1" s="51"/>
    </row>
    <row r="2" spans="1:33" ht="12" customHeight="1" x14ac:dyDescent="0.2">
      <c r="A2" s="48" t="s">
        <v>26</v>
      </c>
      <c r="B2" s="49"/>
      <c r="C2" s="53"/>
      <c r="D2" s="51"/>
    </row>
    <row r="3" spans="1:33" ht="12" customHeight="1" x14ac:dyDescent="0.2">
      <c r="A3" s="55" t="s">
        <v>73</v>
      </c>
      <c r="B3" s="56"/>
      <c r="C3" s="57"/>
      <c r="D3" s="58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40390</v>
      </c>
      <c r="B5" s="31"/>
      <c r="C5" s="25" t="s">
        <v>39</v>
      </c>
      <c r="D5" s="25" t="s">
        <v>40</v>
      </c>
      <c r="E5" s="25" t="s">
        <v>37</v>
      </c>
      <c r="F5" s="26">
        <v>162435</v>
      </c>
      <c r="G5" s="26" t="s">
        <v>52</v>
      </c>
      <c r="H5" s="32"/>
      <c r="I5" s="32"/>
      <c r="J5" s="32">
        <v>363.26</v>
      </c>
      <c r="K5" s="32"/>
      <c r="L5" s="33"/>
      <c r="M5" s="27">
        <f t="shared" ref="M5:M12" si="0">SUM(H5:J5,K5/1.12)</f>
        <v>363.26</v>
      </c>
      <c r="N5" s="27">
        <f t="shared" ref="N5:N12" si="1">K5/1.12*0.12</f>
        <v>0</v>
      </c>
      <c r="O5" s="27">
        <f t="shared" ref="O5:O12" si="2">-SUM(I5:J5,K5/1.12)*L5</f>
        <v>0</v>
      </c>
      <c r="P5" s="27">
        <v>363.26</v>
      </c>
      <c r="Q5" s="34"/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7" si="3">-SUM(N5:AE5)</f>
        <v>-363.26</v>
      </c>
      <c r="AG5" s="28">
        <f t="shared" ref="AG5:AG7" si="4">SUM(H5:K5)+AF5+O5</f>
        <v>0</v>
      </c>
    </row>
    <row r="6" spans="1:33" s="12" customFormat="1" ht="23.25" customHeight="1" x14ac:dyDescent="0.2">
      <c r="A6" s="30">
        <v>40390</v>
      </c>
      <c r="B6" s="31"/>
      <c r="C6" s="25" t="s">
        <v>39</v>
      </c>
      <c r="D6" s="25" t="s">
        <v>40</v>
      </c>
      <c r="E6" s="25" t="s">
        <v>37</v>
      </c>
      <c r="F6" s="26">
        <v>162435</v>
      </c>
      <c r="G6" s="26" t="s">
        <v>47</v>
      </c>
      <c r="H6" s="32"/>
      <c r="I6" s="32"/>
      <c r="J6" s="32"/>
      <c r="K6" s="32">
        <v>82</v>
      </c>
      <c r="L6" s="33"/>
      <c r="M6" s="27">
        <f t="shared" si="0"/>
        <v>73.214285714285708</v>
      </c>
      <c r="N6" s="27">
        <f t="shared" si="1"/>
        <v>8.7857142857142847</v>
      </c>
      <c r="O6" s="27">
        <f t="shared" si="2"/>
        <v>0</v>
      </c>
      <c r="P6" s="27">
        <v>73.209999999999994</v>
      </c>
      <c r="Q6" s="34"/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-81.995714285714286</v>
      </c>
      <c r="AG6" s="28">
        <f t="shared" si="4"/>
        <v>4.2857142857144481E-3</v>
      </c>
    </row>
    <row r="7" spans="1:33" s="12" customFormat="1" ht="23.25" customHeight="1" x14ac:dyDescent="0.2">
      <c r="A7" s="30">
        <v>40390</v>
      </c>
      <c r="B7" s="31"/>
      <c r="C7" s="25" t="s">
        <v>53</v>
      </c>
      <c r="D7" s="25" t="s">
        <v>54</v>
      </c>
      <c r="E7" s="25" t="s">
        <v>37</v>
      </c>
      <c r="F7" s="26">
        <v>1064029</v>
      </c>
      <c r="G7" s="26" t="s">
        <v>55</v>
      </c>
      <c r="H7" s="32"/>
      <c r="I7" s="32"/>
      <c r="J7" s="32"/>
      <c r="K7" s="32">
        <v>19</v>
      </c>
      <c r="L7" s="33"/>
      <c r="M7" s="27">
        <f t="shared" si="0"/>
        <v>16.964285714285712</v>
      </c>
      <c r="N7" s="27">
        <f t="shared" si="1"/>
        <v>2.0357142857142851</v>
      </c>
      <c r="O7" s="27">
        <f t="shared" si="2"/>
        <v>0</v>
      </c>
      <c r="P7" s="27">
        <v>16.96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-18.995714285714286</v>
      </c>
      <c r="AG7" s="28">
        <f t="shared" si="4"/>
        <v>4.2857142857144481E-3</v>
      </c>
    </row>
    <row r="8" spans="1:33" s="12" customFormat="1" ht="23.25" customHeight="1" x14ac:dyDescent="0.2">
      <c r="A8" s="30">
        <v>40390</v>
      </c>
      <c r="B8" s="31"/>
      <c r="C8" s="25" t="s">
        <v>48</v>
      </c>
      <c r="D8" s="25" t="s">
        <v>46</v>
      </c>
      <c r="E8" s="25" t="s">
        <v>49</v>
      </c>
      <c r="F8" s="26">
        <v>198291</v>
      </c>
      <c r="G8" s="26" t="s">
        <v>56</v>
      </c>
      <c r="H8" s="32"/>
      <c r="I8" s="32"/>
      <c r="J8" s="32"/>
      <c r="K8" s="32">
        <v>2481.3000000000002</v>
      </c>
      <c r="L8" s="33"/>
      <c r="M8" s="27">
        <f t="shared" ref="M8" si="5">SUM(H8:J8,K8/1.12)</f>
        <v>2215.4464285714284</v>
      </c>
      <c r="N8" s="27">
        <f t="shared" ref="N8" si="6">K8/1.12*0.12</f>
        <v>265.8535714285714</v>
      </c>
      <c r="O8" s="27">
        <f t="shared" ref="O8" si="7">-SUM(I8:J8,K8/1.12)*L8</f>
        <v>0</v>
      </c>
      <c r="P8" s="27">
        <v>2215.4499999999998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ref="AF8" si="8">-SUM(N8:AE8)</f>
        <v>-2481.3035714285711</v>
      </c>
      <c r="AG8" s="28">
        <f t="shared" ref="AG8" si="9">SUM(H8:K8)+AF8+O8</f>
        <v>-3.571428570921853E-3</v>
      </c>
    </row>
    <row r="9" spans="1:33" s="12" customFormat="1" ht="23.25" customHeight="1" x14ac:dyDescent="0.2">
      <c r="A9" s="30">
        <v>40390</v>
      </c>
      <c r="B9" s="31"/>
      <c r="C9" s="25" t="s">
        <v>57</v>
      </c>
      <c r="D9" s="25"/>
      <c r="E9" s="25"/>
      <c r="F9" s="26"/>
      <c r="G9" s="26" t="s">
        <v>58</v>
      </c>
      <c r="H9" s="32">
        <v>159</v>
      </c>
      <c r="I9" s="32"/>
      <c r="J9" s="32"/>
      <c r="K9" s="32"/>
      <c r="L9" s="33"/>
      <c r="M9" s="27">
        <f t="shared" si="0"/>
        <v>159</v>
      </c>
      <c r="N9" s="27">
        <f t="shared" si="1"/>
        <v>0</v>
      </c>
      <c r="O9" s="27">
        <f t="shared" si="2"/>
        <v>0</v>
      </c>
      <c r="P9" s="27"/>
      <c r="Q9" s="34"/>
      <c r="R9" s="34"/>
      <c r="S9" s="35"/>
      <c r="T9" s="35"/>
      <c r="U9" s="35"/>
      <c r="V9" s="35"/>
      <c r="W9" s="35"/>
      <c r="X9" s="34"/>
      <c r="Y9" s="34"/>
      <c r="Z9" s="34"/>
      <c r="AA9" s="34">
        <v>159</v>
      </c>
      <c r="AB9" s="35"/>
      <c r="AC9" s="35"/>
      <c r="AD9" s="34"/>
      <c r="AE9" s="34"/>
      <c r="AF9" s="27">
        <f t="shared" ref="AF9:AF12" si="10">-SUM(N9:AE9)</f>
        <v>-159</v>
      </c>
      <c r="AG9" s="28">
        <f t="shared" ref="AG9:AG12" si="11">SUM(H9:K9)+AF9+O9</f>
        <v>0</v>
      </c>
    </row>
    <row r="10" spans="1:33" s="12" customFormat="1" ht="23.25" customHeight="1" x14ac:dyDescent="0.2">
      <c r="A10" s="30">
        <v>40393</v>
      </c>
      <c r="B10" s="31"/>
      <c r="C10" s="25" t="s">
        <v>39</v>
      </c>
      <c r="D10" s="25" t="s">
        <v>40</v>
      </c>
      <c r="E10" s="25" t="s">
        <v>37</v>
      </c>
      <c r="F10" s="26">
        <v>38548</v>
      </c>
      <c r="G10" s="26" t="s">
        <v>59</v>
      </c>
      <c r="H10" s="32"/>
      <c r="I10" s="32"/>
      <c r="J10" s="32"/>
      <c r="K10" s="32">
        <v>345</v>
      </c>
      <c r="L10" s="33"/>
      <c r="M10" s="27">
        <f t="shared" si="0"/>
        <v>308.03571428571428</v>
      </c>
      <c r="N10" s="27">
        <f t="shared" si="1"/>
        <v>36.964285714285715</v>
      </c>
      <c r="O10" s="27">
        <f t="shared" si="2"/>
        <v>0</v>
      </c>
      <c r="P10" s="27"/>
      <c r="Q10" s="34"/>
      <c r="R10" s="34">
        <v>308.04000000000002</v>
      </c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10"/>
        <v>-345.00428571428574</v>
      </c>
      <c r="AG10" s="28">
        <f t="shared" si="11"/>
        <v>-4.2857142857428698E-3</v>
      </c>
    </row>
    <row r="11" spans="1:33" s="12" customFormat="1" ht="23.25" customHeight="1" x14ac:dyDescent="0.2">
      <c r="A11" s="30">
        <v>40393</v>
      </c>
      <c r="B11" s="31"/>
      <c r="C11" s="25" t="s">
        <v>45</v>
      </c>
      <c r="D11" s="25" t="s">
        <v>43</v>
      </c>
      <c r="E11" s="25" t="s">
        <v>42</v>
      </c>
      <c r="F11" s="26">
        <v>29851</v>
      </c>
      <c r="G11" s="26" t="s">
        <v>60</v>
      </c>
      <c r="H11" s="32"/>
      <c r="I11" s="32"/>
      <c r="J11" s="32">
        <v>220</v>
      </c>
      <c r="K11" s="32"/>
      <c r="L11" s="33"/>
      <c r="M11" s="27">
        <f t="shared" si="0"/>
        <v>220</v>
      </c>
      <c r="N11" s="27">
        <f t="shared" si="1"/>
        <v>0</v>
      </c>
      <c r="O11" s="27">
        <f t="shared" si="2"/>
        <v>0</v>
      </c>
      <c r="P11" s="27">
        <v>220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10"/>
        <v>-220</v>
      </c>
      <c r="AG11" s="28">
        <f t="shared" si="11"/>
        <v>0</v>
      </c>
    </row>
    <row r="12" spans="1:33" s="12" customFormat="1" ht="23.25" customHeight="1" x14ac:dyDescent="0.2">
      <c r="A12" s="30">
        <v>40393</v>
      </c>
      <c r="B12" s="31"/>
      <c r="C12" s="25" t="s">
        <v>61</v>
      </c>
      <c r="D12" s="25" t="s">
        <v>62</v>
      </c>
      <c r="E12" s="25" t="s">
        <v>42</v>
      </c>
      <c r="F12" s="26">
        <v>458</v>
      </c>
      <c r="G12" s="26" t="s">
        <v>63</v>
      </c>
      <c r="H12" s="32"/>
      <c r="I12" s="32"/>
      <c r="J12" s="32">
        <v>700</v>
      </c>
      <c r="K12" s="32"/>
      <c r="L12" s="33"/>
      <c r="M12" s="27">
        <f t="shared" si="0"/>
        <v>700</v>
      </c>
      <c r="N12" s="27">
        <f t="shared" si="1"/>
        <v>0</v>
      </c>
      <c r="O12" s="27">
        <f t="shared" si="2"/>
        <v>0</v>
      </c>
      <c r="P12" s="27">
        <v>700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10"/>
        <v>-700</v>
      </c>
      <c r="AG12" s="28">
        <f t="shared" si="11"/>
        <v>0</v>
      </c>
    </row>
    <row r="13" spans="1:33" s="12" customFormat="1" ht="23.25" customHeight="1" x14ac:dyDescent="0.2">
      <c r="A13" s="30">
        <v>40393</v>
      </c>
      <c r="B13" s="31"/>
      <c r="C13" s="25" t="s">
        <v>41</v>
      </c>
      <c r="D13" s="25"/>
      <c r="E13" s="25"/>
      <c r="F13" s="26"/>
      <c r="G13" s="26" t="s">
        <v>64</v>
      </c>
      <c r="H13" s="32">
        <v>100</v>
      </c>
      <c r="I13" s="32"/>
      <c r="J13" s="32"/>
      <c r="K13" s="32"/>
      <c r="L13" s="33"/>
      <c r="M13" s="27">
        <f t="shared" ref="M13" si="12">SUM(H13:J13,K13/1.12)</f>
        <v>100</v>
      </c>
      <c r="N13" s="27">
        <f t="shared" ref="N13" si="13">K13/1.12*0.12</f>
        <v>0</v>
      </c>
      <c r="O13" s="27">
        <f t="shared" ref="O13" si="14">-SUM(I13:J13,K13/1.12)*L13</f>
        <v>0</v>
      </c>
      <c r="P13" s="27"/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>
        <v>100</v>
      </c>
      <c r="AB13" s="35"/>
      <c r="AC13" s="35"/>
      <c r="AD13" s="34"/>
      <c r="AE13" s="34"/>
      <c r="AF13" s="27">
        <f t="shared" ref="AF13" si="15">-SUM(N13:AE13)</f>
        <v>-100</v>
      </c>
      <c r="AG13" s="28">
        <f t="shared" ref="AG13" si="16">SUM(H13:K13)+AF13+O13</f>
        <v>0</v>
      </c>
    </row>
    <row r="14" spans="1:33" s="12" customFormat="1" ht="23.25" customHeight="1" x14ac:dyDescent="0.2">
      <c r="A14" s="30">
        <v>40393</v>
      </c>
      <c r="B14" s="31"/>
      <c r="C14" s="25" t="s">
        <v>65</v>
      </c>
      <c r="D14" s="25"/>
      <c r="E14" s="25"/>
      <c r="F14" s="26"/>
      <c r="G14" s="26" t="s">
        <v>66</v>
      </c>
      <c r="H14" s="32"/>
      <c r="I14" s="32"/>
      <c r="J14" s="32">
        <v>1150</v>
      </c>
      <c r="K14" s="32"/>
      <c r="L14" s="33"/>
      <c r="M14" s="27">
        <f t="shared" ref="M14:M19" si="17">SUM(H14:J14,K14/1.12)</f>
        <v>1150</v>
      </c>
      <c r="N14" s="27">
        <f t="shared" ref="N14:N19" si="18">K14/1.12*0.12</f>
        <v>0</v>
      </c>
      <c r="O14" s="27">
        <f t="shared" ref="O14:O19" si="19">-SUM(I14:J14,K14/1.12)*L14</f>
        <v>0</v>
      </c>
      <c r="P14" s="27">
        <v>1150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ref="AF14:AF19" si="20">-SUM(N14:AE14)</f>
        <v>-1150</v>
      </c>
      <c r="AG14" s="28">
        <f t="shared" ref="AG14:AG19" si="21">SUM(H14:K14)+AF14+O14</f>
        <v>0</v>
      </c>
    </row>
    <row r="15" spans="1:33" s="12" customFormat="1" ht="23.25" customHeight="1" x14ac:dyDescent="0.2">
      <c r="A15" s="30">
        <v>40393</v>
      </c>
      <c r="B15" s="31"/>
      <c r="C15" s="25" t="s">
        <v>67</v>
      </c>
      <c r="D15" s="25"/>
      <c r="E15" s="25"/>
      <c r="F15" s="26"/>
      <c r="G15" s="26" t="s">
        <v>68</v>
      </c>
      <c r="H15" s="32">
        <v>30</v>
      </c>
      <c r="I15" s="32"/>
      <c r="J15" s="32"/>
      <c r="K15" s="32"/>
      <c r="L15" s="33"/>
      <c r="M15" s="27">
        <f t="shared" si="17"/>
        <v>30</v>
      </c>
      <c r="N15" s="27">
        <f t="shared" si="18"/>
        <v>0</v>
      </c>
      <c r="O15" s="27">
        <f t="shared" si="19"/>
        <v>0</v>
      </c>
      <c r="P15" s="27"/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>
        <v>30</v>
      </c>
      <c r="AB15" s="35"/>
      <c r="AC15" s="35"/>
      <c r="AD15" s="34"/>
      <c r="AE15" s="34"/>
      <c r="AF15" s="27">
        <f t="shared" si="20"/>
        <v>-30</v>
      </c>
      <c r="AG15" s="28">
        <f t="shared" si="21"/>
        <v>0</v>
      </c>
    </row>
    <row r="16" spans="1:33" s="12" customFormat="1" ht="23.25" customHeight="1" x14ac:dyDescent="0.2">
      <c r="A16" s="30">
        <v>40394</v>
      </c>
      <c r="B16" s="31"/>
      <c r="C16" s="25" t="s">
        <v>57</v>
      </c>
      <c r="D16" s="25"/>
      <c r="E16" s="25"/>
      <c r="F16" s="26"/>
      <c r="G16" s="26" t="s">
        <v>69</v>
      </c>
      <c r="H16" s="32">
        <v>161</v>
      </c>
      <c r="I16" s="32"/>
      <c r="J16" s="32"/>
      <c r="K16" s="32"/>
      <c r="L16" s="33"/>
      <c r="M16" s="27">
        <f t="shared" si="17"/>
        <v>161</v>
      </c>
      <c r="N16" s="27">
        <f t="shared" si="18"/>
        <v>0</v>
      </c>
      <c r="O16" s="27">
        <f t="shared" si="19"/>
        <v>0</v>
      </c>
      <c r="P16" s="27"/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>
        <v>161</v>
      </c>
      <c r="AB16" s="35"/>
      <c r="AC16" s="35"/>
      <c r="AD16" s="34"/>
      <c r="AE16" s="34"/>
      <c r="AF16" s="27">
        <f t="shared" si="20"/>
        <v>-161</v>
      </c>
      <c r="AG16" s="28">
        <f t="shared" si="21"/>
        <v>0</v>
      </c>
    </row>
    <row r="17" spans="1:33" s="12" customFormat="1" ht="23.25" customHeight="1" x14ac:dyDescent="0.2">
      <c r="A17" s="30">
        <v>40395</v>
      </c>
      <c r="B17" s="31"/>
      <c r="C17" s="25" t="s">
        <v>70</v>
      </c>
      <c r="D17" s="25" t="s">
        <v>71</v>
      </c>
      <c r="E17" s="25" t="s">
        <v>37</v>
      </c>
      <c r="F17" s="26">
        <v>471107</v>
      </c>
      <c r="G17" s="26" t="s">
        <v>72</v>
      </c>
      <c r="H17" s="32"/>
      <c r="I17" s="32"/>
      <c r="J17" s="32"/>
      <c r="K17" s="32">
        <v>130</v>
      </c>
      <c r="L17" s="33"/>
      <c r="M17" s="27">
        <f t="shared" si="17"/>
        <v>116.07142857142856</v>
      </c>
      <c r="N17" s="27">
        <f t="shared" si="18"/>
        <v>13.928571428571425</v>
      </c>
      <c r="O17" s="27">
        <f t="shared" si="19"/>
        <v>0</v>
      </c>
      <c r="P17" s="27">
        <v>116.07</v>
      </c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si="20"/>
        <v>-129.99857142857141</v>
      </c>
      <c r="AG17" s="28">
        <f t="shared" si="21"/>
        <v>1.4285714285904305E-3</v>
      </c>
    </row>
    <row r="18" spans="1:33" s="12" customFormat="1" ht="23.25" customHeight="1" x14ac:dyDescent="0.2">
      <c r="A18" s="30">
        <v>40396</v>
      </c>
      <c r="B18" s="31"/>
      <c r="C18" s="25" t="s">
        <v>39</v>
      </c>
      <c r="D18" s="25"/>
      <c r="E18" s="25"/>
      <c r="F18" s="26">
        <v>38563</v>
      </c>
      <c r="G18" s="26" t="s">
        <v>74</v>
      </c>
      <c r="H18" s="32"/>
      <c r="I18" s="32"/>
      <c r="J18" s="32"/>
      <c r="K18" s="32">
        <v>794.25</v>
      </c>
      <c r="L18" s="33"/>
      <c r="M18" s="27">
        <f t="shared" si="17"/>
        <v>709.15178571428567</v>
      </c>
      <c r="N18" s="27">
        <f t="shared" si="18"/>
        <v>85.098214285714278</v>
      </c>
      <c r="O18" s="27">
        <f t="shared" si="19"/>
        <v>0</v>
      </c>
      <c r="P18" s="27">
        <v>709.15</v>
      </c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20"/>
        <v>-794.24821428571431</v>
      </c>
      <c r="AG18" s="28">
        <f t="shared" si="21"/>
        <v>1.7857142856883002E-3</v>
      </c>
    </row>
    <row r="19" spans="1:33" s="12" customFormat="1" ht="23.25" customHeight="1" x14ac:dyDescent="0.2">
      <c r="A19" s="30"/>
      <c r="B19" s="31"/>
      <c r="C19" s="25"/>
      <c r="D19" s="25"/>
      <c r="E19" s="25"/>
      <c r="F19" s="26"/>
      <c r="G19" s="26"/>
      <c r="H19" s="32"/>
      <c r="I19" s="32"/>
      <c r="J19" s="32"/>
      <c r="K19" s="32"/>
      <c r="L19" s="33"/>
      <c r="M19" s="27">
        <f t="shared" si="17"/>
        <v>0</v>
      </c>
      <c r="N19" s="27">
        <f t="shared" si="18"/>
        <v>0</v>
      </c>
      <c r="O19" s="27">
        <f t="shared" si="19"/>
        <v>0</v>
      </c>
      <c r="P19" s="27"/>
      <c r="Q19" s="34"/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si="20"/>
        <v>0</v>
      </c>
      <c r="AG19" s="28">
        <f t="shared" si="21"/>
        <v>0</v>
      </c>
    </row>
    <row r="20" spans="1:33" s="12" customFormat="1" x14ac:dyDescent="0.2">
      <c r="A20" s="30"/>
      <c r="B20" s="31"/>
      <c r="C20" s="36"/>
      <c r="D20" s="36"/>
      <c r="E20" s="36"/>
      <c r="F20" s="26"/>
      <c r="G20" s="29"/>
      <c r="H20" s="32"/>
      <c r="I20" s="32"/>
      <c r="J20" s="32"/>
      <c r="K20" s="32"/>
      <c r="L20" s="33"/>
      <c r="M20" s="34">
        <f>SUM(H20:J20,K20/1.12)</f>
        <v>0</v>
      </c>
      <c r="N20" s="34">
        <f>K20/1.12*0.12</f>
        <v>0</v>
      </c>
      <c r="O20" s="34">
        <f>-SUM(I20:J20,K20/1.12)*L20</f>
        <v>0</v>
      </c>
      <c r="P20" s="34"/>
      <c r="Q20" s="34"/>
      <c r="R20" s="34"/>
      <c r="S20" s="34"/>
      <c r="T20" s="35"/>
      <c r="U20" s="35"/>
      <c r="V20" s="35"/>
      <c r="W20" s="35"/>
      <c r="X20" s="35"/>
      <c r="Y20" s="37"/>
      <c r="Z20" s="34"/>
      <c r="AA20" s="34"/>
      <c r="AB20" s="34"/>
      <c r="AC20" s="35"/>
      <c r="AD20" s="35"/>
      <c r="AE20" s="38"/>
      <c r="AF20" s="27">
        <f t="shared" ref="AF20" si="22">-SUM(N20:AE20)</f>
        <v>0</v>
      </c>
      <c r="AG20" s="28">
        <f t="shared" ref="AG20" si="23">SUM(H20:K20)+AF20+O20</f>
        <v>0</v>
      </c>
    </row>
    <row r="21" spans="1:33" s="10" customFormat="1" ht="12" thickBot="1" x14ac:dyDescent="0.25">
      <c r="A21" s="39"/>
      <c r="B21" s="40"/>
      <c r="C21" s="41"/>
      <c r="D21" s="42"/>
      <c r="E21" s="42"/>
      <c r="F21" s="43"/>
      <c r="G21" s="41"/>
      <c r="H21" s="44">
        <f t="shared" ref="H21:AG21" si="24">SUM(H5:H20)</f>
        <v>450</v>
      </c>
      <c r="I21" s="44">
        <f t="shared" si="24"/>
        <v>0</v>
      </c>
      <c r="J21" s="44">
        <f t="shared" si="24"/>
        <v>2433.2600000000002</v>
      </c>
      <c r="K21" s="44">
        <f t="shared" si="24"/>
        <v>3851.55</v>
      </c>
      <c r="L21" s="44">
        <f t="shared" si="24"/>
        <v>0</v>
      </c>
      <c r="M21" s="44">
        <f t="shared" si="24"/>
        <v>6322.1439285714278</v>
      </c>
      <c r="N21" s="44">
        <f t="shared" si="24"/>
        <v>412.6660714285714</v>
      </c>
      <c r="O21" s="44">
        <f t="shared" si="24"/>
        <v>0</v>
      </c>
      <c r="P21" s="44">
        <f t="shared" si="24"/>
        <v>5564.0999999999985</v>
      </c>
      <c r="Q21" s="44">
        <f t="shared" si="24"/>
        <v>0</v>
      </c>
      <c r="R21" s="44">
        <f t="shared" si="24"/>
        <v>308.04000000000002</v>
      </c>
      <c r="S21" s="44">
        <f t="shared" si="24"/>
        <v>0</v>
      </c>
      <c r="T21" s="44">
        <f t="shared" si="24"/>
        <v>0</v>
      </c>
      <c r="U21" s="44">
        <f t="shared" si="24"/>
        <v>0</v>
      </c>
      <c r="V21" s="44">
        <f t="shared" si="24"/>
        <v>0</v>
      </c>
      <c r="W21" s="44">
        <f t="shared" si="24"/>
        <v>0</v>
      </c>
      <c r="X21" s="44">
        <f t="shared" si="24"/>
        <v>0</v>
      </c>
      <c r="Y21" s="44">
        <f t="shared" si="24"/>
        <v>0</v>
      </c>
      <c r="Z21" s="44">
        <f t="shared" si="24"/>
        <v>0</v>
      </c>
      <c r="AA21" s="44">
        <f t="shared" si="24"/>
        <v>450</v>
      </c>
      <c r="AB21" s="44">
        <f t="shared" si="24"/>
        <v>0</v>
      </c>
      <c r="AC21" s="44">
        <f t="shared" si="24"/>
        <v>0</v>
      </c>
      <c r="AD21" s="44">
        <f t="shared" si="24"/>
        <v>0</v>
      </c>
      <c r="AE21" s="44">
        <f t="shared" si="24"/>
        <v>0</v>
      </c>
      <c r="AF21" s="44">
        <f t="shared" si="24"/>
        <v>-6734.8060714285712</v>
      </c>
      <c r="AG21" s="44">
        <f t="shared" si="24"/>
        <v>3.9285714290429041E-3</v>
      </c>
    </row>
    <row r="22" spans="1:33" ht="12" thickTop="1" x14ac:dyDescent="0.2"/>
    <row r="23" spans="1:33" ht="12" x14ac:dyDescent="0.2">
      <c r="K23" s="45">
        <f>H21+I21+J21+K21</f>
        <v>6734.81</v>
      </c>
      <c r="L23" s="9"/>
      <c r="M23" s="8"/>
      <c r="AF23" s="46">
        <f>+AF21</f>
        <v>-6734.8060714285712</v>
      </c>
    </row>
    <row r="24" spans="1:33" x14ac:dyDescent="0.2">
      <c r="K24" s="8"/>
      <c r="L24" s="9"/>
      <c r="M24" s="8"/>
    </row>
    <row r="25" spans="1:33" ht="12" x14ac:dyDescent="0.2">
      <c r="C25" s="47" t="s">
        <v>33</v>
      </c>
      <c r="G25" s="10"/>
      <c r="K25" s="65">
        <f>K23-5000</f>
        <v>1734.8100000000004</v>
      </c>
      <c r="L25" s="65"/>
      <c r="M25" s="65"/>
    </row>
    <row r="26" spans="1:33" x14ac:dyDescent="0.2">
      <c r="K26" s="8"/>
      <c r="L26" s="9"/>
      <c r="M26" s="8"/>
    </row>
    <row r="27" spans="1:33" x14ac:dyDescent="0.2">
      <c r="K27" s="8"/>
      <c r="L27" s="9"/>
      <c r="M27" s="8"/>
    </row>
    <row r="28" spans="1:33" x14ac:dyDescent="0.2">
      <c r="A28" s="1"/>
      <c r="B28" s="1"/>
      <c r="D28" s="1"/>
      <c r="E28" s="1"/>
      <c r="F28" s="1"/>
      <c r="H28" s="1"/>
      <c r="I28" s="1"/>
      <c r="J28" s="1"/>
      <c r="K28" s="8"/>
      <c r="L28" s="9"/>
      <c r="M28" s="8"/>
      <c r="N28" s="1">
        <f>2839-1345</f>
        <v>1494</v>
      </c>
      <c r="O28" s="1"/>
      <c r="P28" s="1"/>
      <c r="Q28" s="1"/>
      <c r="R28" s="1"/>
      <c r="S28" s="1"/>
      <c r="T28" s="1"/>
      <c r="U28" s="1"/>
      <c r="V28" s="1"/>
      <c r="W28" s="1"/>
      <c r="X28" s="1"/>
      <c r="Z28" s="1"/>
      <c r="AA28" s="1"/>
      <c r="AB28" s="1"/>
      <c r="AC28" s="1"/>
      <c r="AD28" s="1"/>
      <c r="AE28" s="1"/>
      <c r="AF28" s="1"/>
    </row>
    <row r="29" spans="1:33" x14ac:dyDescent="0.2">
      <c r="N29" s="2">
        <f>K25-N28</f>
        <v>240.8100000000004</v>
      </c>
    </row>
    <row r="30" spans="1:33" x14ac:dyDescent="0.2">
      <c r="N30" s="2">
        <f>N29+40</f>
        <v>280.8100000000004</v>
      </c>
    </row>
    <row r="35" spans="1:32" x14ac:dyDescent="0.2">
      <c r="Q35" s="2">
        <v>0</v>
      </c>
    </row>
    <row r="36" spans="1:32" x14ac:dyDescent="0.2">
      <c r="A36" s="1"/>
      <c r="B36" s="1"/>
      <c r="D36" s="1"/>
      <c r="E36" s="1"/>
      <c r="F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Z36" s="1"/>
      <c r="AA36" s="1"/>
      <c r="AB36" s="1"/>
      <c r="AC36" s="1"/>
      <c r="AD36" s="1"/>
      <c r="AE36" s="1"/>
      <c r="AF36" s="1"/>
    </row>
  </sheetData>
  <mergeCells count="1">
    <mergeCell ref="K25:M25"/>
  </mergeCells>
  <pageMargins left="0.7" right="0.7" top="0.75" bottom="0.75" header="0.3" footer="0.3"/>
  <pageSetup paperSize="5" scale="95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workbookViewId="0">
      <selection activeCell="C12" sqref="C12:F12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hidden="1" customWidth="1"/>
    <col min="5" max="5" width="28" style="5" hidden="1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hidden="1" customWidth="1"/>
    <col min="10" max="10" width="9.7109375" style="2" hidden="1" customWidth="1"/>
    <col min="11" max="11" width="10.42578125" style="2" customWidth="1"/>
    <col min="12" max="12" width="7.85546875" style="3" hidden="1" customWidth="1"/>
    <col min="13" max="13" width="9.7109375" style="2" customWidth="1"/>
    <col min="14" max="14" width="8.5703125" style="2" customWidth="1"/>
    <col min="15" max="15" width="9" style="2" hidden="1" customWidth="1"/>
    <col min="16" max="16" width="9.85546875" style="2" customWidth="1"/>
    <col min="17" max="17" width="9.5703125" style="2" customWidth="1"/>
    <col min="18" max="18" width="10.7109375" style="2" hidden="1" customWidth="1"/>
    <col min="19" max="19" width="8.140625" style="2" hidden="1" customWidth="1"/>
    <col min="20" max="21" width="9.140625" style="2" hidden="1" customWidth="1"/>
    <col min="22" max="22" width="10.5703125" style="2" hidden="1" customWidth="1"/>
    <col min="23" max="23" width="8.140625" style="2" hidden="1" customWidth="1"/>
    <col min="24" max="24" width="9.85546875" style="2" hidden="1" customWidth="1"/>
    <col min="25" max="25" width="9.28515625" style="2" hidden="1" customWidth="1"/>
    <col min="26" max="26" width="8.28515625" style="2" hidden="1" customWidth="1"/>
    <col min="27" max="27" width="8.7109375" style="2" customWidth="1"/>
    <col min="28" max="28" width="9.5703125" style="2" hidden="1" customWidth="1"/>
    <col min="29" max="30" width="8" style="2" hidden="1" customWidth="1"/>
    <col min="31" max="31" width="10.140625" style="2" customWidth="1"/>
    <col min="32" max="32" width="10.7109375" style="2" customWidth="1"/>
    <col min="33" max="33" width="8.85546875" style="1" customWidth="1"/>
    <col min="34" max="16384" width="9.140625" style="1"/>
  </cols>
  <sheetData>
    <row r="1" spans="1:33" ht="12" customHeight="1" x14ac:dyDescent="0.2">
      <c r="A1" s="48" t="s">
        <v>30</v>
      </c>
      <c r="B1" s="49"/>
      <c r="C1" s="50"/>
    </row>
    <row r="2" spans="1:33" ht="12" customHeight="1" x14ac:dyDescent="0.2">
      <c r="A2" s="48" t="s">
        <v>26</v>
      </c>
      <c r="B2" s="49"/>
      <c r="C2" s="53"/>
    </row>
    <row r="3" spans="1:33" ht="12" customHeight="1" x14ac:dyDescent="0.2">
      <c r="A3" s="55" t="s">
        <v>75</v>
      </c>
      <c r="B3" s="56"/>
      <c r="C3" s="57"/>
      <c r="D3" s="59"/>
      <c r="E3" s="59"/>
      <c r="F3" s="60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44051</v>
      </c>
      <c r="B5" s="31"/>
      <c r="C5" s="25" t="s">
        <v>48</v>
      </c>
      <c r="D5" s="25" t="s">
        <v>46</v>
      </c>
      <c r="E5" s="25" t="s">
        <v>49</v>
      </c>
      <c r="F5" s="26">
        <v>274751</v>
      </c>
      <c r="G5" s="26" t="s">
        <v>76</v>
      </c>
      <c r="H5" s="32"/>
      <c r="I5" s="32"/>
      <c r="J5" s="32"/>
      <c r="K5" s="32">
        <v>2384.15</v>
      </c>
      <c r="L5" s="33"/>
      <c r="M5" s="27">
        <f t="shared" ref="M5:M14" si="0">SUM(H5:J5,K5/1.12)</f>
        <v>2128.7053571428569</v>
      </c>
      <c r="N5" s="27">
        <f t="shared" ref="N5:N14" si="1">K5/1.12*0.12</f>
        <v>255.44464285714281</v>
      </c>
      <c r="O5" s="27">
        <f t="shared" ref="O5:O14" si="2">-SUM(I5:J5,K5/1.12)*L5</f>
        <v>0</v>
      </c>
      <c r="P5" s="27">
        <v>2128.71</v>
      </c>
      <c r="Q5" s="34"/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" si="3">-SUM(N5:AE5)</f>
        <v>-2384.1546428571428</v>
      </c>
      <c r="AG5" s="28">
        <f t="shared" ref="AG5" si="4">SUM(H5:K5)+AF5+O5</f>
        <v>-4.6428571426986309E-3</v>
      </c>
    </row>
    <row r="6" spans="1:33" s="12" customFormat="1" ht="23.25" customHeight="1" x14ac:dyDescent="0.2">
      <c r="A6" s="30">
        <v>44051</v>
      </c>
      <c r="B6" s="31"/>
      <c r="C6" s="25" t="s">
        <v>67</v>
      </c>
      <c r="D6" s="25"/>
      <c r="E6" s="25"/>
      <c r="F6" s="26"/>
      <c r="G6" s="26" t="s">
        <v>77</v>
      </c>
      <c r="H6" s="32">
        <v>40</v>
      </c>
      <c r="I6" s="32"/>
      <c r="J6" s="32"/>
      <c r="K6" s="32"/>
      <c r="L6" s="33"/>
      <c r="M6" s="27">
        <f t="shared" ref="M6:M13" si="5">SUM(H6:J6,K6/1.12)</f>
        <v>40</v>
      </c>
      <c r="N6" s="27">
        <f t="shared" ref="N6:N13" si="6">K6/1.12*0.12</f>
        <v>0</v>
      </c>
      <c r="O6" s="27">
        <f t="shared" ref="O6:O13" si="7">-SUM(I6:J6,K6/1.12)*L6</f>
        <v>0</v>
      </c>
      <c r="P6" s="27"/>
      <c r="Q6" s="34"/>
      <c r="R6" s="34"/>
      <c r="S6" s="35"/>
      <c r="T6" s="35"/>
      <c r="U6" s="35"/>
      <c r="V6" s="35"/>
      <c r="W6" s="35"/>
      <c r="X6" s="34"/>
      <c r="Y6" s="34"/>
      <c r="Z6" s="34"/>
      <c r="AA6" s="34">
        <v>40</v>
      </c>
      <c r="AB6" s="35"/>
      <c r="AC6" s="35"/>
      <c r="AD6" s="34"/>
      <c r="AE6" s="34"/>
      <c r="AF6" s="27">
        <f t="shared" ref="AF6:AF13" si="8">-SUM(N6:AE6)</f>
        <v>-40</v>
      </c>
      <c r="AG6" s="28">
        <f t="shared" ref="AG6:AG13" si="9">SUM(H6:K6)+AF6+O6</f>
        <v>0</v>
      </c>
    </row>
    <row r="7" spans="1:33" s="12" customFormat="1" ht="23.25" customHeight="1" x14ac:dyDescent="0.2">
      <c r="A7" s="30">
        <v>44051</v>
      </c>
      <c r="B7" s="31"/>
      <c r="C7" s="25" t="s">
        <v>50</v>
      </c>
      <c r="D7" s="25" t="s">
        <v>44</v>
      </c>
      <c r="E7" s="25" t="s">
        <v>51</v>
      </c>
      <c r="F7" s="26"/>
      <c r="G7" s="26" t="s">
        <v>38</v>
      </c>
      <c r="H7" s="32"/>
      <c r="I7" s="32"/>
      <c r="J7" s="32"/>
      <c r="K7" s="32">
        <v>30</v>
      </c>
      <c r="L7" s="33"/>
      <c r="M7" s="27">
        <f t="shared" si="5"/>
        <v>26.785714285714285</v>
      </c>
      <c r="N7" s="27">
        <f t="shared" si="6"/>
        <v>3.214285714285714</v>
      </c>
      <c r="O7" s="27">
        <f t="shared" si="7"/>
        <v>0</v>
      </c>
      <c r="P7" s="27"/>
      <c r="Q7" s="34">
        <v>26.79</v>
      </c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8"/>
        <v>-30.004285714285714</v>
      </c>
      <c r="AG7" s="28">
        <f t="shared" si="9"/>
        <v>-4.2857142857144481E-3</v>
      </c>
    </row>
    <row r="8" spans="1:33" s="12" customFormat="1" ht="23.25" customHeight="1" x14ac:dyDescent="0.2">
      <c r="A8" s="30">
        <v>44053</v>
      </c>
      <c r="B8" s="31"/>
      <c r="C8" s="25" t="s">
        <v>78</v>
      </c>
      <c r="D8" s="25"/>
      <c r="E8" s="25"/>
      <c r="F8" s="26"/>
      <c r="G8" s="26"/>
      <c r="H8" s="32"/>
      <c r="I8" s="32"/>
      <c r="J8" s="32"/>
      <c r="K8" s="32">
        <v>36.75</v>
      </c>
      <c r="L8" s="33"/>
      <c r="M8" s="27">
        <f t="shared" si="5"/>
        <v>32.8125</v>
      </c>
      <c r="N8" s="27">
        <f t="shared" si="6"/>
        <v>3.9375</v>
      </c>
      <c r="O8" s="27">
        <f t="shared" si="7"/>
        <v>0</v>
      </c>
      <c r="P8" s="27">
        <v>32.81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8"/>
        <v>-36.747500000000002</v>
      </c>
      <c r="AG8" s="28">
        <f t="shared" si="9"/>
        <v>2.4999999999977263E-3</v>
      </c>
    </row>
    <row r="9" spans="1:33" s="12" customFormat="1" ht="23.25" customHeight="1" x14ac:dyDescent="0.2">
      <c r="A9" s="30">
        <v>44053</v>
      </c>
      <c r="B9" s="31"/>
      <c r="C9" s="25" t="s">
        <v>39</v>
      </c>
      <c r="D9" s="25" t="s">
        <v>40</v>
      </c>
      <c r="E9" s="25" t="s">
        <v>37</v>
      </c>
      <c r="F9" s="26">
        <v>38576</v>
      </c>
      <c r="G9" s="26" t="s">
        <v>79</v>
      </c>
      <c r="H9" s="32"/>
      <c r="I9" s="32"/>
      <c r="J9" s="32"/>
      <c r="K9" s="32">
        <v>327.8</v>
      </c>
      <c r="L9" s="33"/>
      <c r="M9" s="27">
        <f t="shared" si="5"/>
        <v>292.67857142857139</v>
      </c>
      <c r="N9" s="27">
        <f t="shared" si="6"/>
        <v>35.121428571428567</v>
      </c>
      <c r="O9" s="27">
        <f t="shared" si="7"/>
        <v>0</v>
      </c>
      <c r="P9" s="27">
        <v>292.68</v>
      </c>
      <c r="Q9" s="34"/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si="8"/>
        <v>-327.80142857142857</v>
      </c>
      <c r="AG9" s="28">
        <f t="shared" si="9"/>
        <v>-1.4285714285620088E-3</v>
      </c>
    </row>
    <row r="10" spans="1:33" s="12" customFormat="1" ht="23.25" customHeight="1" x14ac:dyDescent="0.2">
      <c r="A10" s="30">
        <v>44053</v>
      </c>
      <c r="B10" s="31"/>
      <c r="C10" s="25" t="s">
        <v>80</v>
      </c>
      <c r="D10" s="25"/>
      <c r="E10" s="25"/>
      <c r="F10" s="26"/>
      <c r="G10" s="26" t="s">
        <v>81</v>
      </c>
      <c r="H10" s="32">
        <v>500</v>
      </c>
      <c r="I10" s="32"/>
      <c r="J10" s="32"/>
      <c r="K10" s="32"/>
      <c r="L10" s="33"/>
      <c r="M10" s="27">
        <f t="shared" si="5"/>
        <v>500</v>
      </c>
      <c r="N10" s="27">
        <f t="shared" si="6"/>
        <v>0</v>
      </c>
      <c r="O10" s="27">
        <f t="shared" si="7"/>
        <v>0</v>
      </c>
      <c r="P10" s="27"/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>
        <v>500</v>
      </c>
      <c r="AB10" s="35"/>
      <c r="AC10" s="35"/>
      <c r="AD10" s="34"/>
      <c r="AE10" s="34"/>
      <c r="AF10" s="27">
        <f t="shared" si="8"/>
        <v>-500</v>
      </c>
      <c r="AG10" s="28">
        <f t="shared" si="9"/>
        <v>0</v>
      </c>
    </row>
    <row r="11" spans="1:33" s="12" customFormat="1" ht="23.25" customHeight="1" x14ac:dyDescent="0.2">
      <c r="A11" s="30">
        <v>44054</v>
      </c>
      <c r="B11" s="31"/>
      <c r="C11" s="25" t="s">
        <v>57</v>
      </c>
      <c r="D11" s="25"/>
      <c r="E11" s="25"/>
      <c r="F11" s="26"/>
      <c r="G11" s="26" t="s">
        <v>82</v>
      </c>
      <c r="H11" s="32">
        <v>163</v>
      </c>
      <c r="I11" s="32"/>
      <c r="J11" s="32"/>
      <c r="K11" s="32"/>
      <c r="L11" s="33"/>
      <c r="M11" s="27">
        <f t="shared" si="5"/>
        <v>163</v>
      </c>
      <c r="N11" s="27">
        <f t="shared" si="6"/>
        <v>0</v>
      </c>
      <c r="O11" s="27">
        <f t="shared" si="7"/>
        <v>0</v>
      </c>
      <c r="P11" s="27"/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>
        <v>163</v>
      </c>
      <c r="AB11" s="35"/>
      <c r="AC11" s="35"/>
      <c r="AD11" s="34"/>
      <c r="AE11" s="34"/>
      <c r="AF11" s="27">
        <f t="shared" si="8"/>
        <v>-163</v>
      </c>
      <c r="AG11" s="28">
        <f t="shared" si="9"/>
        <v>0</v>
      </c>
    </row>
    <row r="12" spans="1:33" s="12" customFormat="1" ht="23.25" customHeight="1" x14ac:dyDescent="0.2">
      <c r="A12" s="30">
        <v>44057</v>
      </c>
      <c r="B12" s="31"/>
      <c r="C12" s="25" t="s">
        <v>48</v>
      </c>
      <c r="D12" s="25" t="s">
        <v>46</v>
      </c>
      <c r="E12" s="25" t="s">
        <v>49</v>
      </c>
      <c r="F12" s="26">
        <v>290790</v>
      </c>
      <c r="G12" s="26" t="s">
        <v>83</v>
      </c>
      <c r="H12" s="32"/>
      <c r="I12" s="32"/>
      <c r="J12" s="32"/>
      <c r="K12" s="32">
        <v>2141.65</v>
      </c>
      <c r="L12" s="33"/>
      <c r="M12" s="27">
        <f t="shared" si="5"/>
        <v>1912.1875</v>
      </c>
      <c r="N12" s="27">
        <f t="shared" si="6"/>
        <v>229.46250000000001</v>
      </c>
      <c r="O12" s="27">
        <f t="shared" si="7"/>
        <v>0</v>
      </c>
      <c r="P12" s="27">
        <v>1912.19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8"/>
        <v>-2141.6525000000001</v>
      </c>
      <c r="AG12" s="28">
        <f t="shared" si="9"/>
        <v>-2.5000000000545697E-3</v>
      </c>
    </row>
    <row r="13" spans="1:33" s="12" customFormat="1" ht="23.25" customHeight="1" x14ac:dyDescent="0.2">
      <c r="A13" s="30">
        <v>44058</v>
      </c>
      <c r="B13" s="31"/>
      <c r="C13" s="25" t="s">
        <v>39</v>
      </c>
      <c r="D13" s="25" t="s">
        <v>40</v>
      </c>
      <c r="E13" s="25" t="s">
        <v>37</v>
      </c>
      <c r="F13" s="26">
        <v>164869</v>
      </c>
      <c r="G13" s="26" t="s">
        <v>84</v>
      </c>
      <c r="H13" s="32"/>
      <c r="I13" s="32"/>
      <c r="J13" s="32"/>
      <c r="K13" s="32">
        <v>318</v>
      </c>
      <c r="L13" s="33"/>
      <c r="M13" s="27">
        <f t="shared" si="5"/>
        <v>283.92857142857139</v>
      </c>
      <c r="N13" s="27">
        <f t="shared" si="6"/>
        <v>34.071428571428562</v>
      </c>
      <c r="O13" s="27">
        <f t="shared" si="7"/>
        <v>0</v>
      </c>
      <c r="P13" s="27"/>
      <c r="Q13" s="34">
        <v>283.93</v>
      </c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8"/>
        <v>-318.00142857142856</v>
      </c>
      <c r="AG13" s="28">
        <f t="shared" si="9"/>
        <v>-1.4285714285620088E-3</v>
      </c>
    </row>
    <row r="14" spans="1:33" s="12" customFormat="1" ht="23.25" customHeight="1" x14ac:dyDescent="0.2">
      <c r="A14" s="30"/>
      <c r="B14" s="31"/>
      <c r="C14" s="25"/>
      <c r="D14" s="25"/>
      <c r="E14" s="25"/>
      <c r="F14" s="26"/>
      <c r="G14" s="26"/>
      <c r="H14" s="32"/>
      <c r="I14" s="32"/>
      <c r="J14" s="32"/>
      <c r="K14" s="32"/>
      <c r="L14" s="33"/>
      <c r="M14" s="27">
        <f t="shared" si="0"/>
        <v>0</v>
      </c>
      <c r="N14" s="27">
        <f t="shared" si="1"/>
        <v>0</v>
      </c>
      <c r="O14" s="27">
        <f t="shared" si="2"/>
        <v>0</v>
      </c>
      <c r="P14" s="27"/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ref="AF14:AF15" si="10">-SUM(N14:AE14)</f>
        <v>0</v>
      </c>
      <c r="AG14" s="28">
        <f t="shared" ref="AG14:AG15" si="11">SUM(H14:K14)+AF14+O14</f>
        <v>0</v>
      </c>
    </row>
    <row r="15" spans="1:33" s="12" customFormat="1" x14ac:dyDescent="0.2">
      <c r="A15" s="30"/>
      <c r="B15" s="31"/>
      <c r="C15" s="36"/>
      <c r="D15" s="36"/>
      <c r="E15" s="36"/>
      <c r="F15" s="26"/>
      <c r="G15" s="29"/>
      <c r="H15" s="32"/>
      <c r="I15" s="32"/>
      <c r="J15" s="32"/>
      <c r="K15" s="32"/>
      <c r="L15" s="33"/>
      <c r="M15" s="34">
        <f>SUM(H15:J15,K15/1.12)</f>
        <v>0</v>
      </c>
      <c r="N15" s="34">
        <f>K15/1.12*0.12</f>
        <v>0</v>
      </c>
      <c r="O15" s="34">
        <f>-SUM(I15:J15,K15/1.12)*L15</f>
        <v>0</v>
      </c>
      <c r="P15" s="34"/>
      <c r="Q15" s="34"/>
      <c r="R15" s="34"/>
      <c r="S15" s="34"/>
      <c r="T15" s="35"/>
      <c r="U15" s="35"/>
      <c r="V15" s="35"/>
      <c r="W15" s="35"/>
      <c r="X15" s="35"/>
      <c r="Y15" s="37"/>
      <c r="Z15" s="34"/>
      <c r="AA15" s="34"/>
      <c r="AB15" s="34"/>
      <c r="AC15" s="35"/>
      <c r="AD15" s="35"/>
      <c r="AE15" s="38"/>
      <c r="AF15" s="27">
        <f t="shared" si="10"/>
        <v>0</v>
      </c>
      <c r="AG15" s="28">
        <f t="shared" si="11"/>
        <v>0</v>
      </c>
    </row>
    <row r="16" spans="1:33" s="10" customFormat="1" ht="12" thickBot="1" x14ac:dyDescent="0.25">
      <c r="A16" s="39"/>
      <c r="B16" s="40"/>
      <c r="C16" s="41"/>
      <c r="D16" s="42"/>
      <c r="E16" s="42"/>
      <c r="F16" s="43"/>
      <c r="G16" s="41"/>
      <c r="H16" s="44">
        <f t="shared" ref="H16:AG16" si="12">SUM(H5:H15)</f>
        <v>703</v>
      </c>
      <c r="I16" s="44">
        <f t="shared" si="12"/>
        <v>0</v>
      </c>
      <c r="J16" s="44">
        <f t="shared" si="12"/>
        <v>0</v>
      </c>
      <c r="K16" s="44">
        <f t="shared" si="12"/>
        <v>5238.3500000000004</v>
      </c>
      <c r="L16" s="44">
        <f t="shared" si="12"/>
        <v>0</v>
      </c>
      <c r="M16" s="44">
        <f t="shared" si="12"/>
        <v>5380.0982142857147</v>
      </c>
      <c r="N16" s="44">
        <f t="shared" si="12"/>
        <v>561.25178571428569</v>
      </c>
      <c r="O16" s="44">
        <f t="shared" si="12"/>
        <v>0</v>
      </c>
      <c r="P16" s="44">
        <f t="shared" si="12"/>
        <v>4366.3899999999994</v>
      </c>
      <c r="Q16" s="44">
        <f t="shared" si="12"/>
        <v>310.72000000000003</v>
      </c>
      <c r="R16" s="44">
        <f t="shared" si="12"/>
        <v>0</v>
      </c>
      <c r="S16" s="44">
        <f t="shared" si="12"/>
        <v>0</v>
      </c>
      <c r="T16" s="44">
        <f t="shared" si="12"/>
        <v>0</v>
      </c>
      <c r="U16" s="44">
        <f t="shared" si="12"/>
        <v>0</v>
      </c>
      <c r="V16" s="44">
        <f t="shared" si="12"/>
        <v>0</v>
      </c>
      <c r="W16" s="44">
        <f t="shared" si="12"/>
        <v>0</v>
      </c>
      <c r="X16" s="44">
        <f t="shared" si="12"/>
        <v>0</v>
      </c>
      <c r="Y16" s="44">
        <f t="shared" si="12"/>
        <v>0</v>
      </c>
      <c r="Z16" s="44">
        <f t="shared" si="12"/>
        <v>0</v>
      </c>
      <c r="AA16" s="44">
        <f t="shared" si="12"/>
        <v>703</v>
      </c>
      <c r="AB16" s="44">
        <f t="shared" si="12"/>
        <v>0</v>
      </c>
      <c r="AC16" s="44">
        <f t="shared" si="12"/>
        <v>0</v>
      </c>
      <c r="AD16" s="44">
        <f t="shared" si="12"/>
        <v>0</v>
      </c>
      <c r="AE16" s="44">
        <f t="shared" si="12"/>
        <v>0</v>
      </c>
      <c r="AF16" s="44">
        <f t="shared" si="12"/>
        <v>-5941.3617857142863</v>
      </c>
      <c r="AG16" s="44">
        <f t="shared" si="12"/>
        <v>-1.178571428559394E-2</v>
      </c>
    </row>
    <row r="17" spans="1:32" ht="12" thickTop="1" x14ac:dyDescent="0.2"/>
    <row r="18" spans="1:32" ht="12" x14ac:dyDescent="0.2">
      <c r="K18" s="45">
        <f>H16+I16+J16+K16</f>
        <v>5941.35</v>
      </c>
      <c r="L18" s="9"/>
      <c r="M18" s="8"/>
      <c r="AF18" s="46">
        <f>+AF16</f>
        <v>-5941.3617857142863</v>
      </c>
    </row>
    <row r="19" spans="1:32" x14ac:dyDescent="0.2">
      <c r="K19" s="8"/>
      <c r="L19" s="9"/>
      <c r="M19" s="8"/>
    </row>
    <row r="20" spans="1:32" ht="12" x14ac:dyDescent="0.2">
      <c r="C20" s="47" t="s">
        <v>33</v>
      </c>
      <c r="G20" s="10"/>
      <c r="K20" s="65">
        <f>K18-2700</f>
        <v>3241.3500000000004</v>
      </c>
      <c r="L20" s="65"/>
      <c r="M20" s="65"/>
      <c r="AE20" s="54" t="s">
        <v>85</v>
      </c>
      <c r="AF20" s="46">
        <v>6000</v>
      </c>
    </row>
    <row r="21" spans="1:32" ht="12" x14ac:dyDescent="0.2">
      <c r="K21" s="8"/>
      <c r="L21" s="9"/>
      <c r="M21" s="8"/>
      <c r="AF21" s="46"/>
    </row>
    <row r="22" spans="1:32" ht="12" x14ac:dyDescent="0.2">
      <c r="K22" s="8"/>
      <c r="L22" s="9"/>
      <c r="M22" s="8"/>
      <c r="AF22" s="46">
        <f>6000-5941.36</f>
        <v>58.640000000000327</v>
      </c>
    </row>
    <row r="23" spans="1:32" x14ac:dyDescent="0.2">
      <c r="A23" s="1"/>
      <c r="B23" s="1"/>
      <c r="D23" s="1"/>
      <c r="E23" s="1"/>
      <c r="F23" s="1"/>
      <c r="H23" s="1"/>
      <c r="I23" s="1"/>
      <c r="J23" s="1"/>
      <c r="K23" s="8"/>
      <c r="L23" s="9"/>
      <c r="M23" s="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Z23" s="1"/>
      <c r="AA23" s="1"/>
      <c r="AB23" s="1"/>
      <c r="AC23" s="1"/>
      <c r="AD23" s="1"/>
      <c r="AE23" s="1"/>
      <c r="AF23" s="1"/>
    </row>
    <row r="30" spans="1:32" x14ac:dyDescent="0.2">
      <c r="Q30" s="2">
        <v>0</v>
      </c>
    </row>
    <row r="31" spans="1:32" x14ac:dyDescent="0.2">
      <c r="A31" s="1"/>
      <c r="B31" s="1"/>
      <c r="D31" s="1"/>
      <c r="E31" s="1"/>
      <c r="F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Z31" s="1"/>
      <c r="AA31" s="1"/>
      <c r="AB31" s="1"/>
      <c r="AC31" s="1"/>
      <c r="AD31" s="1"/>
      <c r="AE31" s="1"/>
      <c r="AF31" s="1"/>
    </row>
  </sheetData>
  <mergeCells count="1">
    <mergeCell ref="K20:M20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workbookViewId="0">
      <pane ySplit="4" topLeftCell="A5" activePane="bottomLeft" state="frozen"/>
      <selection pane="bottomLeft" activeCell="C17" sqref="C17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hidden="1" customWidth="1"/>
    <col min="5" max="5" width="28" style="5" hidden="1" customWidth="1"/>
    <col min="6" max="6" width="7.85546875" style="4" customWidth="1"/>
    <col min="7" max="7" width="21" style="1" bestFit="1" customWidth="1"/>
    <col min="8" max="8" width="11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9.570312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10.7109375" style="2" customWidth="1"/>
    <col min="33" max="33" width="8.85546875" style="1" customWidth="1"/>
    <col min="34" max="16384" width="9.140625" style="1"/>
  </cols>
  <sheetData>
    <row r="1" spans="1:33" ht="12" customHeight="1" x14ac:dyDescent="0.2">
      <c r="A1" s="48" t="s">
        <v>30</v>
      </c>
      <c r="B1" s="49"/>
      <c r="C1" s="50"/>
      <c r="D1" s="51"/>
      <c r="E1" s="51"/>
      <c r="F1" s="52"/>
    </row>
    <row r="2" spans="1:33" ht="12" customHeight="1" x14ac:dyDescent="0.2">
      <c r="A2" s="48" t="s">
        <v>26</v>
      </c>
      <c r="B2" s="49"/>
      <c r="C2" s="53"/>
      <c r="D2" s="51"/>
      <c r="E2" s="51"/>
      <c r="F2" s="52"/>
    </row>
    <row r="3" spans="1:33" ht="12" customHeight="1" x14ac:dyDescent="0.2">
      <c r="A3" s="55" t="s">
        <v>86</v>
      </c>
      <c r="B3" s="56"/>
      <c r="C3" s="57"/>
      <c r="D3" s="58"/>
      <c r="E3" s="58"/>
      <c r="F3" s="61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44058</v>
      </c>
      <c r="B5" s="31"/>
      <c r="C5" s="25" t="s">
        <v>80</v>
      </c>
      <c r="D5" s="25"/>
      <c r="E5" s="25"/>
      <c r="F5" s="26"/>
      <c r="G5" s="26" t="s">
        <v>81</v>
      </c>
      <c r="H5" s="32">
        <v>500</v>
      </c>
      <c r="I5" s="32"/>
      <c r="J5" s="32"/>
      <c r="K5" s="32"/>
      <c r="L5" s="33"/>
      <c r="M5" s="27">
        <f t="shared" ref="M5:M24" si="0">SUM(H5:J5,K5/1.12)</f>
        <v>500</v>
      </c>
      <c r="N5" s="27">
        <f t="shared" ref="N5:N10" si="1">K5/1.12*0.12</f>
        <v>0</v>
      </c>
      <c r="O5" s="27">
        <f t="shared" ref="O5:O10" si="2">-SUM(I5:J5,K5/1.12)*L5</f>
        <v>0</v>
      </c>
      <c r="P5" s="27"/>
      <c r="Q5" s="34"/>
      <c r="R5" s="34"/>
      <c r="S5" s="35"/>
      <c r="T5" s="35"/>
      <c r="U5" s="35"/>
      <c r="V5" s="35"/>
      <c r="W5" s="35"/>
      <c r="X5" s="34"/>
      <c r="Y5" s="34"/>
      <c r="Z5" s="34"/>
      <c r="AA5" s="34">
        <v>500</v>
      </c>
      <c r="AB5" s="35"/>
      <c r="AC5" s="35"/>
      <c r="AD5" s="34"/>
      <c r="AE5" s="34"/>
      <c r="AF5" s="27">
        <f t="shared" ref="AF5:AF10" si="3">-SUM(N5:AE5)</f>
        <v>-500</v>
      </c>
      <c r="AG5" s="28">
        <f t="shared" ref="AG5:AG10" si="4">SUM(H5:K5)+AF5+O5</f>
        <v>0</v>
      </c>
    </row>
    <row r="6" spans="1:33" s="12" customFormat="1" ht="23.25" customHeight="1" x14ac:dyDescent="0.2">
      <c r="A6" s="30">
        <v>44058</v>
      </c>
      <c r="B6" s="31"/>
      <c r="C6" s="25" t="s">
        <v>87</v>
      </c>
      <c r="D6" s="25"/>
      <c r="E6" s="25"/>
      <c r="F6" s="26"/>
      <c r="G6" s="26" t="s">
        <v>88</v>
      </c>
      <c r="H6" s="32"/>
      <c r="I6" s="32"/>
      <c r="J6" s="32">
        <v>824.45</v>
      </c>
      <c r="K6" s="32"/>
      <c r="L6" s="33"/>
      <c r="M6" s="27">
        <f t="shared" si="0"/>
        <v>824.45</v>
      </c>
      <c r="N6" s="27">
        <f t="shared" si="1"/>
        <v>0</v>
      </c>
      <c r="O6" s="27">
        <f t="shared" si="2"/>
        <v>0</v>
      </c>
      <c r="P6" s="27">
        <v>824.45</v>
      </c>
      <c r="Q6" s="34"/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-824.45</v>
      </c>
      <c r="AG6" s="28">
        <f t="shared" si="4"/>
        <v>0</v>
      </c>
    </row>
    <row r="7" spans="1:33" s="12" customFormat="1" ht="23.25" customHeight="1" x14ac:dyDescent="0.2">
      <c r="A7" s="30">
        <v>44060</v>
      </c>
      <c r="B7" s="31"/>
      <c r="C7" s="25" t="s">
        <v>89</v>
      </c>
      <c r="D7" s="25" t="s">
        <v>90</v>
      </c>
      <c r="E7" s="25" t="s">
        <v>91</v>
      </c>
      <c r="F7" s="26">
        <v>652</v>
      </c>
      <c r="G7" s="26" t="s">
        <v>88</v>
      </c>
      <c r="H7" s="32"/>
      <c r="I7" s="32"/>
      <c r="J7" s="32">
        <v>6819</v>
      </c>
      <c r="K7" s="32"/>
      <c r="L7" s="33"/>
      <c r="M7" s="27">
        <f t="shared" si="0"/>
        <v>6819</v>
      </c>
      <c r="N7" s="27">
        <f t="shared" si="1"/>
        <v>0</v>
      </c>
      <c r="O7" s="27">
        <f t="shared" si="2"/>
        <v>0</v>
      </c>
      <c r="P7" s="27">
        <v>6819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-6819</v>
      </c>
      <c r="AG7" s="28">
        <f t="shared" si="4"/>
        <v>0</v>
      </c>
    </row>
    <row r="8" spans="1:33" s="12" customFormat="1" ht="23.25" customHeight="1" x14ac:dyDescent="0.2">
      <c r="A8" s="30">
        <v>44060</v>
      </c>
      <c r="B8" s="31"/>
      <c r="C8" s="25" t="s">
        <v>65</v>
      </c>
      <c r="D8" s="25"/>
      <c r="E8" s="25"/>
      <c r="F8" s="26"/>
      <c r="G8" s="26" t="s">
        <v>92</v>
      </c>
      <c r="H8" s="32"/>
      <c r="I8" s="32"/>
      <c r="J8" s="32">
        <v>1150</v>
      </c>
      <c r="K8" s="32"/>
      <c r="L8" s="33"/>
      <c r="M8" s="27">
        <f t="shared" si="0"/>
        <v>1150</v>
      </c>
      <c r="N8" s="27">
        <f t="shared" si="1"/>
        <v>0</v>
      </c>
      <c r="O8" s="27">
        <f t="shared" si="2"/>
        <v>0</v>
      </c>
      <c r="P8" s="27">
        <v>1150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3"/>
        <v>-1150</v>
      </c>
      <c r="AG8" s="28">
        <f t="shared" si="4"/>
        <v>0</v>
      </c>
    </row>
    <row r="9" spans="1:33" s="12" customFormat="1" ht="23.25" customHeight="1" x14ac:dyDescent="0.2">
      <c r="A9" s="30">
        <v>44060</v>
      </c>
      <c r="B9" s="31"/>
      <c r="C9" s="25" t="s">
        <v>67</v>
      </c>
      <c r="D9" s="25"/>
      <c r="E9" s="25"/>
      <c r="F9" s="26"/>
      <c r="G9" s="26" t="s">
        <v>68</v>
      </c>
      <c r="H9" s="32">
        <v>30</v>
      </c>
      <c r="I9" s="32"/>
      <c r="J9" s="32"/>
      <c r="K9" s="32"/>
      <c r="L9" s="33"/>
      <c r="M9" s="27">
        <f t="shared" si="0"/>
        <v>30</v>
      </c>
      <c r="N9" s="27">
        <f t="shared" si="1"/>
        <v>0</v>
      </c>
      <c r="O9" s="27">
        <f t="shared" si="2"/>
        <v>0</v>
      </c>
      <c r="P9" s="27"/>
      <c r="Q9" s="34"/>
      <c r="R9" s="34"/>
      <c r="S9" s="35"/>
      <c r="T9" s="35"/>
      <c r="U9" s="35"/>
      <c r="V9" s="35"/>
      <c r="W9" s="35"/>
      <c r="X9" s="34"/>
      <c r="Y9" s="34"/>
      <c r="Z9" s="34"/>
      <c r="AA9" s="34">
        <v>30</v>
      </c>
      <c r="AB9" s="35"/>
      <c r="AC9" s="35"/>
      <c r="AD9" s="34"/>
      <c r="AE9" s="34"/>
      <c r="AF9" s="27">
        <f t="shared" si="3"/>
        <v>-30</v>
      </c>
      <c r="AG9" s="28">
        <f t="shared" si="4"/>
        <v>0</v>
      </c>
    </row>
    <row r="10" spans="1:33" s="12" customFormat="1" ht="23.25" customHeight="1" x14ac:dyDescent="0.2">
      <c r="A10" s="30">
        <v>44060</v>
      </c>
      <c r="B10" s="31"/>
      <c r="C10" s="25" t="s">
        <v>57</v>
      </c>
      <c r="D10" s="25"/>
      <c r="E10" s="25"/>
      <c r="F10" s="26"/>
      <c r="G10" s="26" t="s">
        <v>82</v>
      </c>
      <c r="H10" s="32">
        <v>165</v>
      </c>
      <c r="I10" s="32"/>
      <c r="J10" s="32"/>
      <c r="K10" s="32"/>
      <c r="L10" s="33"/>
      <c r="M10" s="27">
        <f t="shared" si="0"/>
        <v>165</v>
      </c>
      <c r="N10" s="27">
        <f t="shared" si="1"/>
        <v>0</v>
      </c>
      <c r="O10" s="27">
        <f t="shared" si="2"/>
        <v>0</v>
      </c>
      <c r="P10" s="27"/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>
        <v>165</v>
      </c>
      <c r="AB10" s="35"/>
      <c r="AC10" s="35"/>
      <c r="AD10" s="34"/>
      <c r="AE10" s="34"/>
      <c r="AF10" s="27">
        <f t="shared" si="3"/>
        <v>-165</v>
      </c>
      <c r="AG10" s="28">
        <f t="shared" si="4"/>
        <v>0</v>
      </c>
    </row>
    <row r="11" spans="1:33" s="12" customFormat="1" ht="23.25" customHeight="1" x14ac:dyDescent="0.2">
      <c r="A11" s="30">
        <v>44061</v>
      </c>
      <c r="B11" s="31"/>
      <c r="C11" s="25" t="s">
        <v>93</v>
      </c>
      <c r="D11" s="25"/>
      <c r="E11" s="25"/>
      <c r="F11" s="26">
        <v>201893</v>
      </c>
      <c r="G11" s="26" t="s">
        <v>94</v>
      </c>
      <c r="H11" s="32"/>
      <c r="I11" s="32"/>
      <c r="J11" s="32"/>
      <c r="K11" s="32">
        <v>820</v>
      </c>
      <c r="L11" s="33"/>
      <c r="M11" s="27">
        <f t="shared" ref="M11:M23" si="5">SUM(H11:J11,K11/1.12)</f>
        <v>732.14285714285711</v>
      </c>
      <c r="N11" s="27">
        <f t="shared" ref="N11:N26" si="6">K11/1.12*0.12</f>
        <v>87.857142857142847</v>
      </c>
      <c r="O11" s="27">
        <f t="shared" ref="O11:O26" si="7">-SUM(I11:J11,K11/1.12)*L11</f>
        <v>0</v>
      </c>
      <c r="P11" s="27"/>
      <c r="Q11" s="34"/>
      <c r="R11" s="34"/>
      <c r="S11" s="35">
        <v>732.14</v>
      </c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ref="AF11:AF23" si="8">-SUM(N11:AE11)</f>
        <v>-819.99714285714288</v>
      </c>
      <c r="AG11" s="28">
        <f t="shared" ref="AG11:AG23" si="9">SUM(H11:K11)+AF11+O11</f>
        <v>2.8571428571240176E-3</v>
      </c>
    </row>
    <row r="12" spans="1:33" s="12" customFormat="1" ht="23.25" customHeight="1" x14ac:dyDescent="0.2">
      <c r="A12" s="30">
        <v>44061</v>
      </c>
      <c r="B12" s="31"/>
      <c r="C12" s="25" t="s">
        <v>67</v>
      </c>
      <c r="D12" s="25"/>
      <c r="E12" s="25"/>
      <c r="F12" s="26"/>
      <c r="G12" s="26" t="s">
        <v>95</v>
      </c>
      <c r="H12" s="32">
        <v>50</v>
      </c>
      <c r="I12" s="32"/>
      <c r="J12" s="32"/>
      <c r="K12" s="32"/>
      <c r="L12" s="33"/>
      <c r="M12" s="27">
        <f t="shared" si="5"/>
        <v>50</v>
      </c>
      <c r="N12" s="27">
        <f t="shared" si="6"/>
        <v>0</v>
      </c>
      <c r="O12" s="27">
        <f t="shared" si="7"/>
        <v>0</v>
      </c>
      <c r="P12" s="27"/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>
        <v>50</v>
      </c>
      <c r="AB12" s="35"/>
      <c r="AC12" s="35"/>
      <c r="AD12" s="34"/>
      <c r="AE12" s="34"/>
      <c r="AF12" s="27">
        <f t="shared" si="8"/>
        <v>-50</v>
      </c>
      <c r="AG12" s="28">
        <f t="shared" si="9"/>
        <v>0</v>
      </c>
    </row>
    <row r="13" spans="1:33" s="12" customFormat="1" ht="23.25" customHeight="1" x14ac:dyDescent="0.2">
      <c r="A13" s="30">
        <v>44061</v>
      </c>
      <c r="B13" s="31"/>
      <c r="C13" s="25" t="s">
        <v>39</v>
      </c>
      <c r="D13" s="25" t="s">
        <v>40</v>
      </c>
      <c r="E13" s="25" t="s">
        <v>37</v>
      </c>
      <c r="F13" s="26">
        <v>38599</v>
      </c>
      <c r="G13" s="26" t="s">
        <v>96</v>
      </c>
      <c r="H13" s="32"/>
      <c r="I13" s="32"/>
      <c r="J13" s="32"/>
      <c r="K13" s="32">
        <v>259</v>
      </c>
      <c r="L13" s="33"/>
      <c r="M13" s="27">
        <f t="shared" si="5"/>
        <v>231.24999999999997</v>
      </c>
      <c r="N13" s="27">
        <f t="shared" si="6"/>
        <v>27.749999999999996</v>
      </c>
      <c r="O13" s="27">
        <f t="shared" si="7"/>
        <v>0</v>
      </c>
      <c r="P13" s="27">
        <v>231.25</v>
      </c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8"/>
        <v>-259</v>
      </c>
      <c r="AG13" s="28">
        <f t="shared" si="9"/>
        <v>0</v>
      </c>
    </row>
    <row r="14" spans="1:33" s="12" customFormat="1" ht="23.25" customHeight="1" x14ac:dyDescent="0.2">
      <c r="A14" s="30">
        <v>44058</v>
      </c>
      <c r="B14" s="31"/>
      <c r="C14" s="25" t="s">
        <v>133</v>
      </c>
      <c r="D14" s="25"/>
      <c r="E14" s="25"/>
      <c r="F14" s="26">
        <v>10226858</v>
      </c>
      <c r="G14" s="26" t="s">
        <v>88</v>
      </c>
      <c r="H14" s="32"/>
      <c r="I14" s="32"/>
      <c r="J14" s="32">
        <v>824.45</v>
      </c>
      <c r="K14" s="32"/>
      <c r="L14" s="33"/>
      <c r="M14" s="27">
        <f t="shared" si="5"/>
        <v>824.45</v>
      </c>
      <c r="N14" s="27">
        <f t="shared" si="6"/>
        <v>0</v>
      </c>
      <c r="O14" s="27">
        <f t="shared" si="7"/>
        <v>0</v>
      </c>
      <c r="P14" s="27">
        <v>824.45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8"/>
        <v>-824.45</v>
      </c>
      <c r="AG14" s="28">
        <f t="shared" si="9"/>
        <v>0</v>
      </c>
    </row>
    <row r="15" spans="1:33" s="12" customFormat="1" ht="23.25" customHeight="1" x14ac:dyDescent="0.2">
      <c r="A15" s="30">
        <v>44063</v>
      </c>
      <c r="B15" s="31"/>
      <c r="C15" s="25" t="s">
        <v>65</v>
      </c>
      <c r="D15" s="25"/>
      <c r="E15" s="25"/>
      <c r="F15" s="26"/>
      <c r="G15" s="26" t="s">
        <v>134</v>
      </c>
      <c r="H15" s="32"/>
      <c r="I15" s="32"/>
      <c r="J15" s="32">
        <v>130</v>
      </c>
      <c r="K15" s="32"/>
      <c r="L15" s="33"/>
      <c r="M15" s="27">
        <f t="shared" ref="M15:M17" si="10">SUM(H15:J15,K15/1.12)</f>
        <v>130</v>
      </c>
      <c r="N15" s="27">
        <f t="shared" ref="N15:N17" si="11">K15/1.12*0.12</f>
        <v>0</v>
      </c>
      <c r="O15" s="27">
        <f t="shared" ref="O15:O17" si="12">-SUM(I15:J15,K15/1.12)*L15</f>
        <v>0</v>
      </c>
      <c r="P15" s="27">
        <v>130</v>
      </c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ref="AF15:AF17" si="13">-SUM(N15:AE15)</f>
        <v>-130</v>
      </c>
      <c r="AG15" s="28">
        <f t="shared" ref="AG15:AG17" si="14">SUM(H15:K15)+AF15+O15</f>
        <v>0</v>
      </c>
    </row>
    <row r="16" spans="1:33" s="12" customFormat="1" ht="23.25" customHeight="1" x14ac:dyDescent="0.2">
      <c r="A16" s="30">
        <v>44063</v>
      </c>
      <c r="B16" s="31"/>
      <c r="C16" s="25" t="s">
        <v>67</v>
      </c>
      <c r="D16" s="25"/>
      <c r="E16" s="25"/>
      <c r="F16" s="26"/>
      <c r="G16" s="26" t="s">
        <v>135</v>
      </c>
      <c r="H16" s="32">
        <v>50</v>
      </c>
      <c r="I16" s="32"/>
      <c r="J16" s="32"/>
      <c r="K16" s="32"/>
      <c r="L16" s="33"/>
      <c r="M16" s="27">
        <f t="shared" si="10"/>
        <v>50</v>
      </c>
      <c r="N16" s="27">
        <f t="shared" si="11"/>
        <v>0</v>
      </c>
      <c r="O16" s="27">
        <f t="shared" si="12"/>
        <v>0</v>
      </c>
      <c r="P16" s="27"/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>
        <v>50</v>
      </c>
      <c r="AB16" s="35"/>
      <c r="AC16" s="35"/>
      <c r="AD16" s="34"/>
      <c r="AE16" s="34"/>
      <c r="AF16" s="27">
        <f t="shared" si="13"/>
        <v>-50</v>
      </c>
      <c r="AG16" s="28">
        <f t="shared" si="14"/>
        <v>0</v>
      </c>
    </row>
    <row r="17" spans="1:33" s="12" customFormat="1" ht="23.25" customHeight="1" x14ac:dyDescent="0.2">
      <c r="A17" s="30">
        <v>44063</v>
      </c>
      <c r="B17" s="31"/>
      <c r="C17" s="25" t="s">
        <v>53</v>
      </c>
      <c r="D17" s="25"/>
      <c r="E17" s="25"/>
      <c r="F17" s="26">
        <v>10706383</v>
      </c>
      <c r="G17" s="26" t="s">
        <v>38</v>
      </c>
      <c r="H17" s="32"/>
      <c r="I17" s="32"/>
      <c r="J17" s="32"/>
      <c r="K17" s="32">
        <v>25</v>
      </c>
      <c r="L17" s="33"/>
      <c r="M17" s="27">
        <f t="shared" si="10"/>
        <v>22.321428571428569</v>
      </c>
      <c r="N17" s="27">
        <f t="shared" si="11"/>
        <v>2.6785714285714284</v>
      </c>
      <c r="O17" s="27">
        <f t="shared" si="12"/>
        <v>0</v>
      </c>
      <c r="P17" s="27"/>
      <c r="Q17" s="34">
        <v>22.32</v>
      </c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si="13"/>
        <v>-24.998571428571427</v>
      </c>
      <c r="AG17" s="28">
        <f t="shared" si="14"/>
        <v>1.4285714285726669E-3</v>
      </c>
    </row>
    <row r="18" spans="1:33" s="12" customFormat="1" ht="23.25" customHeight="1" x14ac:dyDescent="0.2">
      <c r="A18" s="30">
        <v>44063</v>
      </c>
      <c r="B18" s="31"/>
      <c r="C18" s="25" t="s">
        <v>136</v>
      </c>
      <c r="D18" s="25"/>
      <c r="E18" s="25"/>
      <c r="F18" s="26">
        <v>814841</v>
      </c>
      <c r="G18" s="26" t="s">
        <v>137</v>
      </c>
      <c r="H18" s="32"/>
      <c r="I18" s="32"/>
      <c r="J18" s="32"/>
      <c r="K18" s="32">
        <v>475</v>
      </c>
      <c r="L18" s="33"/>
      <c r="M18" s="27">
        <f t="shared" ref="M18:M21" si="15">SUM(H18:J18,K18/1.12)</f>
        <v>424.10714285714283</v>
      </c>
      <c r="N18" s="27">
        <f t="shared" ref="N18:N21" si="16">K18/1.12*0.12</f>
        <v>50.892857142857139</v>
      </c>
      <c r="O18" s="27">
        <f t="shared" ref="O18:O21" si="17">-SUM(I18:J18,K18/1.12)*L18</f>
        <v>0</v>
      </c>
      <c r="P18" s="27"/>
      <c r="Q18" s="34"/>
      <c r="R18" s="34"/>
      <c r="S18" s="35"/>
      <c r="T18" s="35">
        <v>424.11</v>
      </c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ref="AF18:AF21" si="18">-SUM(N18:AE18)</f>
        <v>-475.00285714285712</v>
      </c>
      <c r="AG18" s="28">
        <f t="shared" ref="AG18:AG21" si="19">SUM(H18:K18)+AF18+O18</f>
        <v>-2.8571428571240176E-3</v>
      </c>
    </row>
    <row r="19" spans="1:33" s="12" customFormat="1" ht="23.25" customHeight="1" x14ac:dyDescent="0.2">
      <c r="A19" s="30">
        <v>44062</v>
      </c>
      <c r="B19" s="31"/>
      <c r="C19" s="25" t="s">
        <v>57</v>
      </c>
      <c r="D19" s="25"/>
      <c r="E19" s="25"/>
      <c r="F19" s="26"/>
      <c r="G19" s="26" t="s">
        <v>138</v>
      </c>
      <c r="H19" s="32">
        <v>120</v>
      </c>
      <c r="I19" s="32"/>
      <c r="J19" s="32"/>
      <c r="K19" s="32"/>
      <c r="L19" s="33"/>
      <c r="M19" s="27">
        <f t="shared" si="15"/>
        <v>120</v>
      </c>
      <c r="N19" s="27">
        <f t="shared" si="16"/>
        <v>0</v>
      </c>
      <c r="O19" s="27">
        <f t="shared" si="17"/>
        <v>0</v>
      </c>
      <c r="P19" s="27"/>
      <c r="Q19" s="34"/>
      <c r="R19" s="34"/>
      <c r="S19" s="35"/>
      <c r="T19" s="35"/>
      <c r="U19" s="35"/>
      <c r="V19" s="35"/>
      <c r="W19" s="35"/>
      <c r="X19" s="34"/>
      <c r="Y19" s="34"/>
      <c r="Z19" s="34"/>
      <c r="AA19" s="34">
        <v>120</v>
      </c>
      <c r="AB19" s="35"/>
      <c r="AC19" s="35"/>
      <c r="AD19" s="34"/>
      <c r="AE19" s="34"/>
      <c r="AF19" s="27">
        <f t="shared" si="18"/>
        <v>-120</v>
      </c>
      <c r="AG19" s="28">
        <f t="shared" si="19"/>
        <v>0</v>
      </c>
    </row>
    <row r="20" spans="1:33" s="12" customFormat="1" ht="23.25" customHeight="1" x14ac:dyDescent="0.2">
      <c r="A20" s="30">
        <v>44063</v>
      </c>
      <c r="B20" s="31"/>
      <c r="C20" s="25" t="s">
        <v>139</v>
      </c>
      <c r="D20" s="25"/>
      <c r="E20" s="25"/>
      <c r="F20" s="26">
        <v>59281</v>
      </c>
      <c r="G20" s="26" t="s">
        <v>140</v>
      </c>
      <c r="H20" s="32"/>
      <c r="I20" s="32"/>
      <c r="J20" s="32"/>
      <c r="K20" s="32">
        <f>1934.64+232.16</f>
        <v>2166.8000000000002</v>
      </c>
      <c r="L20" s="33"/>
      <c r="M20" s="27">
        <f t="shared" si="15"/>
        <v>1934.6428571428571</v>
      </c>
      <c r="N20" s="27">
        <f t="shared" si="16"/>
        <v>232.15714285714284</v>
      </c>
      <c r="O20" s="27">
        <f t="shared" si="17"/>
        <v>0</v>
      </c>
      <c r="P20" s="27">
        <v>1934.64</v>
      </c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18"/>
        <v>-2166.7971428571427</v>
      </c>
      <c r="AG20" s="28">
        <f t="shared" si="19"/>
        <v>2.8571428574650781E-3</v>
      </c>
    </row>
    <row r="21" spans="1:33" s="12" customFormat="1" ht="23.25" customHeight="1" x14ac:dyDescent="0.2">
      <c r="A21" s="30">
        <v>44063</v>
      </c>
      <c r="B21" s="31"/>
      <c r="C21" s="25" t="s">
        <v>139</v>
      </c>
      <c r="D21" s="25"/>
      <c r="E21" s="25"/>
      <c r="F21" s="26">
        <v>59281</v>
      </c>
      <c r="G21" s="26" t="s">
        <v>141</v>
      </c>
      <c r="H21" s="32"/>
      <c r="I21" s="32"/>
      <c r="J21" s="32">
        <v>244.59</v>
      </c>
      <c r="K21" s="32"/>
      <c r="L21" s="33"/>
      <c r="M21" s="27">
        <f t="shared" si="15"/>
        <v>244.59</v>
      </c>
      <c r="N21" s="27">
        <f t="shared" si="16"/>
        <v>0</v>
      </c>
      <c r="O21" s="27">
        <f t="shared" si="17"/>
        <v>0</v>
      </c>
      <c r="P21" s="27">
        <v>244.59</v>
      </c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si="18"/>
        <v>-244.59</v>
      </c>
      <c r="AG21" s="28">
        <f t="shared" si="19"/>
        <v>0</v>
      </c>
    </row>
    <row r="22" spans="1:33" s="12" customFormat="1" ht="23.25" customHeight="1" x14ac:dyDescent="0.2">
      <c r="A22" s="30"/>
      <c r="B22" s="31"/>
      <c r="C22" s="25"/>
      <c r="D22" s="25"/>
      <c r="E22" s="25"/>
      <c r="F22" s="26"/>
      <c r="G22" s="26"/>
      <c r="H22" s="32"/>
      <c r="I22" s="32"/>
      <c r="J22" s="32"/>
      <c r="K22" s="32"/>
      <c r="L22" s="33"/>
      <c r="M22" s="27">
        <f t="shared" si="5"/>
        <v>0</v>
      </c>
      <c r="N22" s="27">
        <f t="shared" si="6"/>
        <v>0</v>
      </c>
      <c r="O22" s="27">
        <f t="shared" si="7"/>
        <v>0</v>
      </c>
      <c r="P22" s="27"/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8"/>
        <v>0</v>
      </c>
      <c r="AG22" s="28">
        <f t="shared" si="9"/>
        <v>0</v>
      </c>
    </row>
    <row r="23" spans="1:33" s="12" customFormat="1" ht="23.25" customHeight="1" x14ac:dyDescent="0.2">
      <c r="A23" s="30"/>
      <c r="B23" s="31"/>
      <c r="C23" s="25"/>
      <c r="D23" s="25"/>
      <c r="E23" s="25"/>
      <c r="F23" s="26"/>
      <c r="G23" s="26"/>
      <c r="H23" s="32"/>
      <c r="I23" s="32"/>
      <c r="J23" s="32"/>
      <c r="K23" s="32"/>
      <c r="L23" s="33"/>
      <c r="M23" s="27">
        <f t="shared" si="5"/>
        <v>0</v>
      </c>
      <c r="N23" s="27">
        <f t="shared" si="6"/>
        <v>0</v>
      </c>
      <c r="O23" s="27">
        <f t="shared" si="7"/>
        <v>0</v>
      </c>
      <c r="P23" s="27"/>
      <c r="Q23" s="34"/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/>
      <c r="AC23" s="35"/>
      <c r="AD23" s="34"/>
      <c r="AE23" s="34"/>
      <c r="AF23" s="27">
        <f t="shared" si="8"/>
        <v>0</v>
      </c>
      <c r="AG23" s="28">
        <f t="shared" si="9"/>
        <v>0</v>
      </c>
    </row>
    <row r="24" spans="1:33" s="12" customFormat="1" ht="23.25" customHeight="1" x14ac:dyDescent="0.2">
      <c r="A24" s="30"/>
      <c r="B24" s="31"/>
      <c r="C24" s="25"/>
      <c r="D24" s="25"/>
      <c r="E24" s="25"/>
      <c r="F24" s="26"/>
      <c r="G24" s="26"/>
      <c r="H24" s="32"/>
      <c r="I24" s="32"/>
      <c r="J24" s="32"/>
      <c r="K24" s="32"/>
      <c r="L24" s="33"/>
      <c r="M24" s="27">
        <f t="shared" si="0"/>
        <v>0</v>
      </c>
      <c r="N24" s="27">
        <f t="shared" si="6"/>
        <v>0</v>
      </c>
      <c r="O24" s="27">
        <f t="shared" si="7"/>
        <v>0</v>
      </c>
      <c r="P24" s="27"/>
      <c r="Q24" s="34"/>
      <c r="R24" s="34"/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ref="AF24:AF25" si="20">-SUM(N24:AE24)</f>
        <v>0</v>
      </c>
      <c r="AG24" s="28">
        <f t="shared" ref="AG24:AG25" si="21">SUM(H24:K24)+AF24+O24</f>
        <v>0</v>
      </c>
    </row>
    <row r="25" spans="1:33" s="12" customFormat="1" x14ac:dyDescent="0.2">
      <c r="A25" s="30"/>
      <c r="B25" s="31"/>
      <c r="C25" s="36"/>
      <c r="D25" s="36"/>
      <c r="E25" s="36"/>
      <c r="F25" s="26"/>
      <c r="G25" s="29"/>
      <c r="H25" s="32"/>
      <c r="I25" s="32"/>
      <c r="J25" s="32"/>
      <c r="K25" s="32"/>
      <c r="L25" s="33"/>
      <c r="M25" s="34">
        <f>SUM(H25:J25,K25/1.12)</f>
        <v>0</v>
      </c>
      <c r="N25" s="27">
        <f t="shared" si="6"/>
        <v>0</v>
      </c>
      <c r="O25" s="27">
        <f t="shared" si="7"/>
        <v>0</v>
      </c>
      <c r="P25" s="34"/>
      <c r="Q25" s="34"/>
      <c r="R25" s="34"/>
      <c r="S25" s="34"/>
      <c r="T25" s="35"/>
      <c r="U25" s="35"/>
      <c r="V25" s="35"/>
      <c r="W25" s="35"/>
      <c r="X25" s="35"/>
      <c r="Y25" s="37"/>
      <c r="Z25" s="34"/>
      <c r="AA25" s="34"/>
      <c r="AB25" s="34"/>
      <c r="AC25" s="35"/>
      <c r="AD25" s="35"/>
      <c r="AE25" s="38"/>
      <c r="AF25" s="27">
        <f t="shared" si="20"/>
        <v>0</v>
      </c>
      <c r="AG25" s="28">
        <f t="shared" si="21"/>
        <v>0</v>
      </c>
    </row>
    <row r="26" spans="1:33" s="10" customFormat="1" ht="12" thickBot="1" x14ac:dyDescent="0.25">
      <c r="A26" s="39"/>
      <c r="B26" s="40"/>
      <c r="C26" s="41"/>
      <c r="D26" s="42"/>
      <c r="E26" s="42"/>
      <c r="F26" s="43"/>
      <c r="G26" s="41"/>
      <c r="H26" s="44">
        <f t="shared" ref="H26:AG26" si="22">SUM(H5:H25)</f>
        <v>915</v>
      </c>
      <c r="I26" s="44">
        <f t="shared" si="22"/>
        <v>0</v>
      </c>
      <c r="J26" s="44">
        <f t="shared" si="22"/>
        <v>9992.4900000000016</v>
      </c>
      <c r="K26" s="44">
        <f t="shared" si="22"/>
        <v>3745.8</v>
      </c>
      <c r="L26" s="44">
        <f t="shared" si="22"/>
        <v>0</v>
      </c>
      <c r="M26" s="44">
        <f t="shared" si="22"/>
        <v>14251.954285714288</v>
      </c>
      <c r="N26" s="27">
        <f t="shared" si="6"/>
        <v>401.33571428571429</v>
      </c>
      <c r="O26" s="27">
        <f t="shared" si="7"/>
        <v>0</v>
      </c>
      <c r="P26" s="44">
        <f t="shared" si="22"/>
        <v>12158.380000000001</v>
      </c>
      <c r="Q26" s="44">
        <f t="shared" si="22"/>
        <v>22.32</v>
      </c>
      <c r="R26" s="44">
        <f t="shared" si="22"/>
        <v>0</v>
      </c>
      <c r="S26" s="44">
        <f t="shared" si="22"/>
        <v>732.14</v>
      </c>
      <c r="T26" s="44">
        <f t="shared" si="22"/>
        <v>424.11</v>
      </c>
      <c r="U26" s="44">
        <f t="shared" si="22"/>
        <v>0</v>
      </c>
      <c r="V26" s="44">
        <f t="shared" si="22"/>
        <v>0</v>
      </c>
      <c r="W26" s="44">
        <f t="shared" si="22"/>
        <v>0</v>
      </c>
      <c r="X26" s="44">
        <f t="shared" si="22"/>
        <v>0</v>
      </c>
      <c r="Y26" s="44">
        <f t="shared" si="22"/>
        <v>0</v>
      </c>
      <c r="Z26" s="44">
        <f t="shared" si="22"/>
        <v>0</v>
      </c>
      <c r="AA26" s="44">
        <f t="shared" si="22"/>
        <v>915</v>
      </c>
      <c r="AB26" s="44">
        <f t="shared" si="22"/>
        <v>0</v>
      </c>
      <c r="AC26" s="44">
        <f t="shared" si="22"/>
        <v>0</v>
      </c>
      <c r="AD26" s="44">
        <f t="shared" si="22"/>
        <v>0</v>
      </c>
      <c r="AE26" s="44">
        <f t="shared" si="22"/>
        <v>0</v>
      </c>
      <c r="AF26" s="44">
        <f t="shared" si="22"/>
        <v>-14653.285714285717</v>
      </c>
      <c r="AG26" s="44">
        <f t="shared" si="22"/>
        <v>4.2857142860377451E-3</v>
      </c>
    </row>
    <row r="27" spans="1:33" ht="12" thickTop="1" x14ac:dyDescent="0.2"/>
    <row r="28" spans="1:33" ht="12" x14ac:dyDescent="0.2">
      <c r="K28" s="45">
        <f>H26+I26+J26+K26</f>
        <v>14653.29</v>
      </c>
      <c r="L28" s="9"/>
      <c r="M28" s="8"/>
      <c r="AF28" s="46">
        <f>+AF26</f>
        <v>-14653.285714285717</v>
      </c>
    </row>
    <row r="29" spans="1:33" ht="12" x14ac:dyDescent="0.2">
      <c r="K29" s="8"/>
      <c r="L29" s="9"/>
      <c r="M29" s="8"/>
      <c r="AE29" s="46"/>
      <c r="AF29" s="46"/>
    </row>
    <row r="30" spans="1:33" ht="12" x14ac:dyDescent="0.2">
      <c r="C30" s="47" t="s">
        <v>33</v>
      </c>
      <c r="G30" s="10"/>
      <c r="K30" s="65"/>
      <c r="L30" s="65"/>
      <c r="M30" s="65"/>
      <c r="AE30" s="54" t="s">
        <v>85</v>
      </c>
      <c r="AF30" s="46">
        <v>9600</v>
      </c>
    </row>
    <row r="31" spans="1:33" ht="12" x14ac:dyDescent="0.2">
      <c r="K31" s="8"/>
      <c r="L31" s="9"/>
      <c r="M31" s="8"/>
      <c r="AE31" s="54"/>
      <c r="AF31" s="46"/>
    </row>
    <row r="32" spans="1:33" ht="12" x14ac:dyDescent="0.2">
      <c r="K32" s="8"/>
      <c r="L32" s="9"/>
      <c r="M32" s="8"/>
      <c r="AE32" s="54"/>
      <c r="AF32" s="46">
        <f>9600-10617.45</f>
        <v>-1017.4500000000007</v>
      </c>
    </row>
    <row r="33" spans="1:32" x14ac:dyDescent="0.2">
      <c r="A33" s="1"/>
      <c r="B33" s="1"/>
      <c r="D33" s="1"/>
      <c r="E33" s="1"/>
      <c r="F33" s="1"/>
      <c r="H33" s="1"/>
      <c r="I33" s="1"/>
      <c r="J33" s="1"/>
      <c r="K33" s="8"/>
      <c r="L33" s="9"/>
      <c r="M33" s="8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Z33" s="1"/>
      <c r="AA33" s="1"/>
      <c r="AB33" s="1"/>
      <c r="AC33" s="1"/>
      <c r="AD33" s="1"/>
      <c r="AE33" s="1"/>
      <c r="AF33" s="1"/>
    </row>
    <row r="40" spans="1:32" x14ac:dyDescent="0.2">
      <c r="Q40" s="2">
        <v>0</v>
      </c>
    </row>
    <row r="41" spans="1:32" x14ac:dyDescent="0.2">
      <c r="A41" s="1"/>
      <c r="B41" s="1"/>
      <c r="D41" s="1"/>
      <c r="E41" s="1"/>
      <c r="F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Z41" s="1"/>
      <c r="AA41" s="1"/>
      <c r="AB41" s="1"/>
      <c r="AC41" s="1"/>
      <c r="AD41" s="1"/>
      <c r="AE41" s="1"/>
      <c r="AF41" s="1"/>
    </row>
  </sheetData>
  <mergeCells count="1">
    <mergeCell ref="K30:M30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abSelected="1" workbookViewId="0">
      <selection activeCell="L3" sqref="L3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3.28515625" style="1" customWidth="1"/>
    <col min="4" max="4" width="13" style="5" hidden="1" customWidth="1"/>
    <col min="5" max="5" width="29.140625" style="5" hidden="1" customWidth="1"/>
    <col min="6" max="6" width="6.28515625" style="4" customWidth="1"/>
    <col min="7" max="7" width="28.28515625" style="1" customWidth="1"/>
    <col min="8" max="8" width="11" style="2" hidden="1" customWidth="1"/>
    <col min="9" max="9" width="8.42578125" style="2" hidden="1" customWidth="1"/>
    <col min="10" max="10" width="8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9.5703125" style="2" customWidth="1"/>
    <col min="18" max="18" width="10.7109375" style="2" customWidth="1"/>
    <col min="19" max="20" width="9.140625" style="2" hidden="1" customWidth="1"/>
    <col min="21" max="21" width="10.5703125" style="2" hidden="1" customWidth="1"/>
    <col min="22" max="22" width="8.140625" style="2" hidden="1" customWidth="1"/>
    <col min="23" max="23" width="9.85546875" style="2" hidden="1" customWidth="1"/>
    <col min="24" max="24" width="9.28515625" style="2" hidden="1" customWidth="1"/>
    <col min="25" max="25" width="8.28515625" style="2" hidden="1" customWidth="1"/>
    <col min="26" max="26" width="8.7109375" style="2" hidden="1" customWidth="1"/>
    <col min="27" max="27" width="9.5703125" style="2" hidden="1" customWidth="1"/>
    <col min="28" max="29" width="8" style="2" hidden="1" customWidth="1"/>
    <col min="30" max="30" width="10.140625" style="2" hidden="1" customWidth="1"/>
    <col min="31" max="31" width="10.7109375" style="2" customWidth="1"/>
    <col min="32" max="32" width="8.85546875" style="1" customWidth="1"/>
    <col min="33" max="16384" width="9.140625" style="1"/>
  </cols>
  <sheetData>
    <row r="1" spans="1:32" ht="12" customHeight="1" x14ac:dyDescent="0.2">
      <c r="A1" s="13" t="s">
        <v>30</v>
      </c>
      <c r="C1" s="14"/>
    </row>
    <row r="2" spans="1:32" ht="12" customHeight="1" x14ac:dyDescent="0.2">
      <c r="A2" s="13" t="s">
        <v>26</v>
      </c>
    </row>
    <row r="3" spans="1:32" ht="12" customHeight="1" x14ac:dyDescent="0.2">
      <c r="A3" s="13" t="s">
        <v>142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6212</v>
      </c>
      <c r="T3" s="16"/>
      <c r="U3" s="16"/>
      <c r="V3" s="16"/>
      <c r="W3" s="16"/>
      <c r="X3" s="16" t="s">
        <v>25</v>
      </c>
      <c r="Y3" s="16"/>
      <c r="Z3" s="16">
        <v>6230</v>
      </c>
      <c r="AA3" s="16" t="s">
        <v>24</v>
      </c>
      <c r="AB3" s="16">
        <v>6202</v>
      </c>
      <c r="AC3" s="16"/>
      <c r="AD3" s="16">
        <v>6109</v>
      </c>
      <c r="AE3" s="16">
        <v>1002</v>
      </c>
    </row>
    <row r="4" spans="1:32" s="11" customFormat="1" ht="44.2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32</v>
      </c>
      <c r="S4" s="21" t="s">
        <v>7</v>
      </c>
      <c r="T4" s="21" t="s">
        <v>28</v>
      </c>
      <c r="U4" s="21" t="s">
        <v>34</v>
      </c>
      <c r="V4" s="21" t="s">
        <v>35</v>
      </c>
      <c r="W4" s="21" t="s">
        <v>36</v>
      </c>
      <c r="X4" s="21" t="s">
        <v>6</v>
      </c>
      <c r="Y4" s="21" t="s">
        <v>29</v>
      </c>
      <c r="Z4" s="21" t="s">
        <v>5</v>
      </c>
      <c r="AA4" s="21" t="s">
        <v>4</v>
      </c>
      <c r="AB4" s="22" t="s">
        <v>3</v>
      </c>
      <c r="AC4" s="21" t="s">
        <v>1</v>
      </c>
      <c r="AD4" s="23" t="s">
        <v>2</v>
      </c>
      <c r="AE4" s="24" t="s">
        <v>0</v>
      </c>
    </row>
    <row r="5" spans="1:32" s="12" customFormat="1" ht="23.25" customHeight="1" x14ac:dyDescent="0.2">
      <c r="A5" s="30">
        <v>44070</v>
      </c>
      <c r="B5" s="31"/>
      <c r="C5" s="25" t="s">
        <v>39</v>
      </c>
      <c r="D5" s="25" t="s">
        <v>143</v>
      </c>
      <c r="E5" s="25" t="s">
        <v>144</v>
      </c>
      <c r="F5" s="26">
        <v>196355</v>
      </c>
      <c r="G5" s="26" t="s">
        <v>145</v>
      </c>
      <c r="H5" s="32"/>
      <c r="I5" s="32"/>
      <c r="J5" s="32"/>
      <c r="K5" s="32">
        <v>334</v>
      </c>
      <c r="L5" s="33"/>
      <c r="M5" s="27">
        <f t="shared" ref="M5:M14" si="0">SUM(H5:J5,K5/1.12)</f>
        <v>298.21428571428567</v>
      </c>
      <c r="N5" s="27">
        <f t="shared" ref="N5:N14" si="1">K5/1.12*0.12</f>
        <v>35.785714285714278</v>
      </c>
      <c r="O5" s="27">
        <f t="shared" ref="O5:O14" si="2">-SUM(I5:J5,K5/1.12)*L5</f>
        <v>0</v>
      </c>
      <c r="P5" s="27">
        <v>298.20999999999998</v>
      </c>
      <c r="Q5" s="34"/>
      <c r="R5" s="34"/>
      <c r="S5" s="35"/>
      <c r="T5" s="35"/>
      <c r="U5" s="35"/>
      <c r="V5" s="35"/>
      <c r="W5" s="34"/>
      <c r="X5" s="34"/>
      <c r="Y5" s="34"/>
      <c r="Z5" s="34"/>
      <c r="AA5" s="35"/>
      <c r="AB5" s="35"/>
      <c r="AC5" s="34"/>
      <c r="AD5" s="34"/>
      <c r="AE5" s="27">
        <f t="shared" ref="AE5:AE15" si="3">-SUM(N5:AD5)</f>
        <v>-333.99571428571426</v>
      </c>
      <c r="AF5" s="28">
        <f t="shared" ref="AF5:AF13" si="4">SUM(H5:K5)+AE5+O5</f>
        <v>4.2857142857428698E-3</v>
      </c>
    </row>
    <row r="6" spans="1:32" s="12" customFormat="1" ht="23.25" customHeight="1" x14ac:dyDescent="0.2">
      <c r="A6" s="30">
        <v>44070</v>
      </c>
      <c r="B6" s="31"/>
      <c r="C6" s="25" t="s">
        <v>53</v>
      </c>
      <c r="D6" s="25" t="s">
        <v>44</v>
      </c>
      <c r="E6" s="25"/>
      <c r="F6" s="26">
        <v>3353</v>
      </c>
      <c r="G6" s="26" t="s">
        <v>38</v>
      </c>
      <c r="H6" s="32"/>
      <c r="I6" s="32"/>
      <c r="J6" s="32"/>
      <c r="K6" s="32">
        <v>42</v>
      </c>
      <c r="L6" s="33"/>
      <c r="M6" s="27">
        <f t="shared" si="0"/>
        <v>37.499999999999993</v>
      </c>
      <c r="N6" s="27">
        <f t="shared" si="1"/>
        <v>4.4999999999999991</v>
      </c>
      <c r="O6" s="27">
        <f t="shared" si="2"/>
        <v>0</v>
      </c>
      <c r="P6" s="66"/>
      <c r="Q6" s="34">
        <v>37.5</v>
      </c>
      <c r="R6" s="34"/>
      <c r="S6" s="35"/>
      <c r="T6" s="35"/>
      <c r="U6" s="35"/>
      <c r="V6" s="35"/>
      <c r="W6" s="34"/>
      <c r="X6" s="34"/>
      <c r="Y6" s="34"/>
      <c r="Z6" s="34"/>
      <c r="AA6" s="35"/>
      <c r="AB6" s="35"/>
      <c r="AC6" s="34"/>
      <c r="AD6" s="34"/>
      <c r="AE6" s="27">
        <f t="shared" si="3"/>
        <v>-42</v>
      </c>
      <c r="AF6" s="28">
        <f t="shared" si="4"/>
        <v>0</v>
      </c>
    </row>
    <row r="7" spans="1:32" s="12" customFormat="1" ht="23.25" customHeight="1" x14ac:dyDescent="0.2">
      <c r="A7" s="30">
        <v>44071</v>
      </c>
      <c r="B7" s="31"/>
      <c r="C7" s="25" t="s">
        <v>39</v>
      </c>
      <c r="D7" s="25" t="s">
        <v>40</v>
      </c>
      <c r="E7" s="25" t="s">
        <v>37</v>
      </c>
      <c r="F7" s="26">
        <v>38627</v>
      </c>
      <c r="G7" s="26" t="s">
        <v>146</v>
      </c>
      <c r="H7" s="32"/>
      <c r="I7" s="32"/>
      <c r="J7" s="32">
        <v>115.9</v>
      </c>
      <c r="K7" s="32"/>
      <c r="L7" s="33"/>
      <c r="M7" s="27">
        <f t="shared" si="0"/>
        <v>115.9</v>
      </c>
      <c r="N7" s="27">
        <f t="shared" si="1"/>
        <v>0</v>
      </c>
      <c r="O7" s="27">
        <f t="shared" si="2"/>
        <v>0</v>
      </c>
      <c r="P7" s="27">
        <v>115.9</v>
      </c>
      <c r="Q7" s="34"/>
      <c r="R7" s="34"/>
      <c r="S7" s="35"/>
      <c r="T7" s="35"/>
      <c r="U7" s="35"/>
      <c r="V7" s="35"/>
      <c r="W7" s="34"/>
      <c r="X7" s="34"/>
      <c r="Y7" s="34"/>
      <c r="Z7" s="34"/>
      <c r="AA7" s="35"/>
      <c r="AB7" s="35"/>
      <c r="AC7" s="34"/>
      <c r="AD7" s="34"/>
      <c r="AE7" s="27">
        <f t="shared" si="3"/>
        <v>-115.9</v>
      </c>
      <c r="AF7" s="28">
        <f t="shared" si="4"/>
        <v>0</v>
      </c>
    </row>
    <row r="8" spans="1:32" s="12" customFormat="1" ht="23.25" customHeight="1" x14ac:dyDescent="0.2">
      <c r="A8" s="30">
        <v>44070</v>
      </c>
      <c r="B8" s="31"/>
      <c r="C8" s="25" t="s">
        <v>39</v>
      </c>
      <c r="D8" s="25" t="s">
        <v>40</v>
      </c>
      <c r="E8" s="25" t="s">
        <v>37</v>
      </c>
      <c r="F8" s="26">
        <v>196005</v>
      </c>
      <c r="G8" s="26" t="s">
        <v>147</v>
      </c>
      <c r="H8" s="32"/>
      <c r="I8" s="32"/>
      <c r="J8" s="32"/>
      <c r="K8" s="32">
        <v>732.45</v>
      </c>
      <c r="L8" s="33"/>
      <c r="M8" s="27">
        <f t="shared" si="0"/>
        <v>653.97321428571422</v>
      </c>
      <c r="N8" s="27">
        <f t="shared" si="1"/>
        <v>78.476785714285697</v>
      </c>
      <c r="O8" s="27">
        <f t="shared" si="2"/>
        <v>0</v>
      </c>
      <c r="P8" s="27">
        <v>653.97</v>
      </c>
      <c r="Q8" s="34"/>
      <c r="R8" s="34"/>
      <c r="S8" s="35"/>
      <c r="T8" s="35"/>
      <c r="U8" s="35"/>
      <c r="V8" s="35"/>
      <c r="W8" s="34"/>
      <c r="X8" s="34"/>
      <c r="Y8" s="34"/>
      <c r="Z8" s="34"/>
      <c r="AA8" s="35"/>
      <c r="AB8" s="35"/>
      <c r="AC8" s="34"/>
      <c r="AD8" s="34"/>
      <c r="AE8" s="27">
        <f t="shared" si="3"/>
        <v>-732.44678571428574</v>
      </c>
      <c r="AF8" s="28">
        <f t="shared" si="4"/>
        <v>3.2142857143071524E-3</v>
      </c>
    </row>
    <row r="9" spans="1:32" s="12" customFormat="1" ht="23.25" customHeight="1" x14ac:dyDescent="0.2">
      <c r="A9" s="30">
        <v>44068</v>
      </c>
      <c r="B9" s="31"/>
      <c r="C9" s="25" t="s">
        <v>39</v>
      </c>
      <c r="D9" s="25" t="s">
        <v>40</v>
      </c>
      <c r="E9" s="25" t="s">
        <v>37</v>
      </c>
      <c r="F9" s="26">
        <v>164113</v>
      </c>
      <c r="G9" s="26" t="s">
        <v>148</v>
      </c>
      <c r="H9" s="32"/>
      <c r="I9" s="32"/>
      <c r="J9" s="32"/>
      <c r="K9" s="32">
        <v>170</v>
      </c>
      <c r="L9" s="33"/>
      <c r="M9" s="27">
        <f t="shared" si="0"/>
        <v>151.78571428571428</v>
      </c>
      <c r="N9" s="27">
        <f t="shared" si="1"/>
        <v>18.214285714285712</v>
      </c>
      <c r="O9" s="27">
        <f t="shared" si="2"/>
        <v>0</v>
      </c>
      <c r="P9" s="27"/>
      <c r="Q9" s="34"/>
      <c r="R9" s="34">
        <v>151.79</v>
      </c>
      <c r="S9" s="35"/>
      <c r="T9" s="35"/>
      <c r="U9" s="35"/>
      <c r="V9" s="35"/>
      <c r="W9" s="34"/>
      <c r="X9" s="34"/>
      <c r="Y9" s="34"/>
      <c r="Z9" s="34"/>
      <c r="AA9" s="35"/>
      <c r="AB9" s="35"/>
      <c r="AC9" s="34"/>
      <c r="AD9" s="34"/>
      <c r="AE9" s="27">
        <f t="shared" si="3"/>
        <v>-170.00428571428571</v>
      </c>
      <c r="AF9" s="28">
        <f t="shared" si="4"/>
        <v>-4.2857142857144481E-3</v>
      </c>
    </row>
    <row r="10" spans="1:32" s="12" customFormat="1" ht="27.75" customHeight="1" x14ac:dyDescent="0.2">
      <c r="A10" s="30">
        <v>44071</v>
      </c>
      <c r="B10" s="31"/>
      <c r="C10" s="25" t="s">
        <v>48</v>
      </c>
      <c r="D10" s="25" t="s">
        <v>46</v>
      </c>
      <c r="E10" s="25" t="s">
        <v>49</v>
      </c>
      <c r="F10" s="26">
        <v>246318</v>
      </c>
      <c r="G10" s="26" t="s">
        <v>150</v>
      </c>
      <c r="H10" s="32"/>
      <c r="I10" s="32"/>
      <c r="J10" s="32">
        <v>343.01</v>
      </c>
      <c r="K10" s="32"/>
      <c r="L10" s="33"/>
      <c r="M10" s="27">
        <f t="shared" si="0"/>
        <v>343.01</v>
      </c>
      <c r="N10" s="27">
        <f t="shared" si="1"/>
        <v>0</v>
      </c>
      <c r="O10" s="27">
        <f t="shared" si="2"/>
        <v>0</v>
      </c>
      <c r="P10" s="27">
        <v>343.01</v>
      </c>
      <c r="Q10" s="34"/>
      <c r="R10" s="34"/>
      <c r="S10" s="35"/>
      <c r="T10" s="35"/>
      <c r="U10" s="35"/>
      <c r="V10" s="35"/>
      <c r="W10" s="34"/>
      <c r="X10" s="34"/>
      <c r="Y10" s="34"/>
      <c r="Z10" s="34"/>
      <c r="AA10" s="35"/>
      <c r="AB10" s="35"/>
      <c r="AC10" s="34"/>
      <c r="AD10" s="34"/>
      <c r="AE10" s="27">
        <f t="shared" si="3"/>
        <v>-343.01</v>
      </c>
      <c r="AF10" s="28">
        <f t="shared" si="4"/>
        <v>0</v>
      </c>
    </row>
    <row r="11" spans="1:32" s="12" customFormat="1" ht="23.25" customHeight="1" x14ac:dyDescent="0.2">
      <c r="A11" s="30">
        <v>44071</v>
      </c>
      <c r="B11" s="31"/>
      <c r="C11" s="25" t="s">
        <v>48</v>
      </c>
      <c r="D11" s="25" t="s">
        <v>46</v>
      </c>
      <c r="E11" s="25" t="s">
        <v>49</v>
      </c>
      <c r="F11" s="26">
        <v>246318</v>
      </c>
      <c r="G11" s="26" t="s">
        <v>149</v>
      </c>
      <c r="H11" s="32"/>
      <c r="I11" s="32"/>
      <c r="J11" s="32"/>
      <c r="K11" s="32">
        <v>2619.8000000000002</v>
      </c>
      <c r="L11" s="33"/>
      <c r="M11" s="27">
        <f t="shared" si="0"/>
        <v>2339.1071428571427</v>
      </c>
      <c r="N11" s="27">
        <f t="shared" si="1"/>
        <v>280.69285714285712</v>
      </c>
      <c r="O11" s="27">
        <f t="shared" si="2"/>
        <v>0</v>
      </c>
      <c r="P11" s="27">
        <v>2339.11</v>
      </c>
      <c r="Q11" s="34"/>
      <c r="R11" s="34"/>
      <c r="S11" s="35"/>
      <c r="T11" s="35"/>
      <c r="U11" s="35"/>
      <c r="V11" s="35"/>
      <c r="W11" s="34"/>
      <c r="X11" s="34"/>
      <c r="Y11" s="34"/>
      <c r="Z11" s="34"/>
      <c r="AA11" s="35"/>
      <c r="AB11" s="35"/>
      <c r="AC11" s="34"/>
      <c r="AD11" s="34"/>
      <c r="AE11" s="27">
        <f t="shared" si="3"/>
        <v>-2619.8028571428572</v>
      </c>
      <c r="AF11" s="28">
        <f t="shared" si="4"/>
        <v>-2.8571428570103308E-3</v>
      </c>
    </row>
    <row r="12" spans="1:32" s="12" customFormat="1" ht="23.25" customHeight="1" x14ac:dyDescent="0.2">
      <c r="A12" s="30">
        <v>44072</v>
      </c>
      <c r="B12" s="31"/>
      <c r="C12" s="25" t="s">
        <v>151</v>
      </c>
      <c r="D12" s="25" t="s">
        <v>152</v>
      </c>
      <c r="E12" s="25" t="s">
        <v>153</v>
      </c>
      <c r="F12" s="26">
        <v>28205</v>
      </c>
      <c r="G12" s="26" t="s">
        <v>154</v>
      </c>
      <c r="H12" s="32"/>
      <c r="I12" s="32"/>
      <c r="J12" s="32">
        <v>2340</v>
      </c>
      <c r="K12" s="32"/>
      <c r="L12" s="33"/>
      <c r="M12" s="27">
        <f t="shared" si="0"/>
        <v>2340</v>
      </c>
      <c r="N12" s="27">
        <f t="shared" si="1"/>
        <v>0</v>
      </c>
      <c r="O12" s="27">
        <f t="shared" si="2"/>
        <v>0</v>
      </c>
      <c r="P12" s="34">
        <v>2340</v>
      </c>
      <c r="Q12" s="34"/>
      <c r="R12" s="34"/>
      <c r="S12" s="35"/>
      <c r="T12" s="35"/>
      <c r="U12" s="35"/>
      <c r="V12" s="35"/>
      <c r="W12" s="34"/>
      <c r="X12" s="34"/>
      <c r="Y12" s="34"/>
      <c r="Z12" s="34"/>
      <c r="AA12" s="35"/>
      <c r="AB12" s="35"/>
      <c r="AC12" s="34"/>
      <c r="AD12" s="34"/>
      <c r="AE12" s="27">
        <f t="shared" si="3"/>
        <v>-2340</v>
      </c>
      <c r="AF12" s="28">
        <f t="shared" si="4"/>
        <v>0</v>
      </c>
    </row>
    <row r="13" spans="1:32" s="12" customFormat="1" ht="23.25" customHeight="1" x14ac:dyDescent="0.2">
      <c r="A13" s="30"/>
      <c r="B13" s="31"/>
      <c r="C13" s="25"/>
      <c r="D13" s="25"/>
      <c r="E13" s="25"/>
      <c r="F13" s="26"/>
      <c r="G13" s="26"/>
      <c r="H13" s="32"/>
      <c r="I13" s="32"/>
      <c r="J13" s="32"/>
      <c r="K13" s="32"/>
      <c r="L13" s="33"/>
      <c r="M13" s="27">
        <f t="shared" si="0"/>
        <v>0</v>
      </c>
      <c r="N13" s="27">
        <f t="shared" si="1"/>
        <v>0</v>
      </c>
      <c r="O13" s="27">
        <f t="shared" si="2"/>
        <v>0</v>
      </c>
      <c r="P13" s="27"/>
      <c r="Q13" s="34"/>
      <c r="R13" s="34"/>
      <c r="S13" s="35"/>
      <c r="T13" s="35"/>
      <c r="U13" s="35"/>
      <c r="V13" s="35"/>
      <c r="W13" s="34"/>
      <c r="X13" s="34"/>
      <c r="Y13" s="34"/>
      <c r="Z13" s="34"/>
      <c r="AA13" s="35"/>
      <c r="AB13" s="35"/>
      <c r="AC13" s="34"/>
      <c r="AD13" s="34"/>
      <c r="AE13" s="27">
        <f t="shared" si="3"/>
        <v>0</v>
      </c>
      <c r="AF13" s="28">
        <f t="shared" si="4"/>
        <v>0</v>
      </c>
    </row>
    <row r="14" spans="1:32" s="12" customFormat="1" ht="23.25" customHeight="1" x14ac:dyDescent="0.2">
      <c r="A14" s="30"/>
      <c r="B14" s="31"/>
      <c r="C14" s="25"/>
      <c r="D14" s="25"/>
      <c r="E14" s="25"/>
      <c r="F14" s="26"/>
      <c r="G14" s="26"/>
      <c r="H14" s="32"/>
      <c r="I14" s="32"/>
      <c r="J14" s="32"/>
      <c r="K14" s="32"/>
      <c r="L14" s="33"/>
      <c r="M14" s="27">
        <f t="shared" si="0"/>
        <v>0</v>
      </c>
      <c r="N14" s="27">
        <f t="shared" si="1"/>
        <v>0</v>
      </c>
      <c r="O14" s="27">
        <f t="shared" si="2"/>
        <v>0</v>
      </c>
      <c r="P14" s="27"/>
      <c r="Q14" s="34"/>
      <c r="R14" s="34"/>
      <c r="S14" s="35"/>
      <c r="T14" s="35"/>
      <c r="U14" s="35"/>
      <c r="V14" s="35"/>
      <c r="W14" s="34"/>
      <c r="X14" s="34"/>
      <c r="Y14" s="34"/>
      <c r="Z14" s="34"/>
      <c r="AA14" s="35"/>
      <c r="AB14" s="35"/>
      <c r="AC14" s="34"/>
      <c r="AD14" s="34"/>
      <c r="AE14" s="27">
        <f t="shared" si="3"/>
        <v>0</v>
      </c>
      <c r="AF14" s="28">
        <f>SUM(H14:K14)+AE14+O14</f>
        <v>0</v>
      </c>
    </row>
    <row r="15" spans="1:32" s="12" customFormat="1" x14ac:dyDescent="0.2">
      <c r="A15" s="30"/>
      <c r="B15" s="31"/>
      <c r="C15" s="36"/>
      <c r="D15" s="36"/>
      <c r="E15" s="36"/>
      <c r="F15" s="26"/>
      <c r="G15" s="29"/>
      <c r="H15" s="32"/>
      <c r="I15" s="32"/>
      <c r="J15" s="32"/>
      <c r="K15" s="32"/>
      <c r="L15" s="33"/>
      <c r="M15" s="34">
        <f>SUM(H15:J15,K15/1.12)</f>
        <v>0</v>
      </c>
      <c r="N15" s="34">
        <f>K15/1.12*0.12</f>
        <v>0</v>
      </c>
      <c r="O15" s="34">
        <f>-SUM(I15:J15,K15/1.12)*L15</f>
        <v>0</v>
      </c>
      <c r="P15" s="34"/>
      <c r="Q15" s="34"/>
      <c r="R15" s="34"/>
      <c r="S15" s="35"/>
      <c r="T15" s="35"/>
      <c r="U15" s="35"/>
      <c r="V15" s="35"/>
      <c r="W15" s="35"/>
      <c r="X15" s="37"/>
      <c r="Y15" s="34"/>
      <c r="Z15" s="34"/>
      <c r="AA15" s="34"/>
      <c r="AB15" s="35"/>
      <c r="AC15" s="35"/>
      <c r="AD15" s="38"/>
      <c r="AE15" s="27">
        <f t="shared" si="3"/>
        <v>0</v>
      </c>
      <c r="AF15" s="28">
        <f>SUM(H15:K15)+AE15+O15</f>
        <v>0</v>
      </c>
    </row>
    <row r="16" spans="1:32" s="10" customFormat="1" ht="12" thickBot="1" x14ac:dyDescent="0.25">
      <c r="A16" s="39"/>
      <c r="B16" s="40"/>
      <c r="C16" s="41"/>
      <c r="D16" s="42"/>
      <c r="E16" s="42"/>
      <c r="F16" s="43"/>
      <c r="G16" s="41"/>
      <c r="H16" s="44">
        <f t="shared" ref="H16:AF16" si="5">SUM(H5:H15)</f>
        <v>0</v>
      </c>
      <c r="I16" s="44">
        <f t="shared" si="5"/>
        <v>0</v>
      </c>
      <c r="J16" s="44">
        <f t="shared" si="5"/>
        <v>2798.91</v>
      </c>
      <c r="K16" s="44">
        <f t="shared" si="5"/>
        <v>3898.25</v>
      </c>
      <c r="L16" s="44">
        <f t="shared" si="5"/>
        <v>0</v>
      </c>
      <c r="M16" s="44">
        <f t="shared" si="5"/>
        <v>6279.4903571428567</v>
      </c>
      <c r="N16" s="44">
        <f t="shared" si="5"/>
        <v>417.66964285714278</v>
      </c>
      <c r="O16" s="44">
        <f t="shared" si="5"/>
        <v>0</v>
      </c>
      <c r="P16" s="44">
        <f t="shared" si="5"/>
        <v>6090.2</v>
      </c>
      <c r="Q16" s="44">
        <f t="shared" si="5"/>
        <v>37.5</v>
      </c>
      <c r="R16" s="44">
        <f t="shared" si="5"/>
        <v>151.79</v>
      </c>
      <c r="S16" s="44">
        <f t="shared" si="5"/>
        <v>0</v>
      </c>
      <c r="T16" s="44">
        <f t="shared" si="5"/>
        <v>0</v>
      </c>
      <c r="U16" s="44">
        <f t="shared" si="5"/>
        <v>0</v>
      </c>
      <c r="V16" s="44">
        <f t="shared" si="5"/>
        <v>0</v>
      </c>
      <c r="W16" s="44">
        <f t="shared" si="5"/>
        <v>0</v>
      </c>
      <c r="X16" s="44">
        <f t="shared" si="5"/>
        <v>0</v>
      </c>
      <c r="Y16" s="44">
        <f t="shared" si="5"/>
        <v>0</v>
      </c>
      <c r="Z16" s="44">
        <f t="shared" si="5"/>
        <v>0</v>
      </c>
      <c r="AA16" s="44">
        <f t="shared" si="5"/>
        <v>0</v>
      </c>
      <c r="AB16" s="44">
        <f t="shared" si="5"/>
        <v>0</v>
      </c>
      <c r="AC16" s="44">
        <f t="shared" si="5"/>
        <v>0</v>
      </c>
      <c r="AD16" s="44">
        <f t="shared" si="5"/>
        <v>0</v>
      </c>
      <c r="AE16" s="44">
        <f t="shared" si="5"/>
        <v>-6697.1596428571429</v>
      </c>
      <c r="AF16" s="44">
        <f t="shared" si="5"/>
        <v>3.5714285732524331E-4</v>
      </c>
    </row>
    <row r="17" spans="1:31" ht="12" thickTop="1" x14ac:dyDescent="0.2"/>
    <row r="18" spans="1:31" ht="12" x14ac:dyDescent="0.2">
      <c r="K18" s="45">
        <f>H16+I16+J16+K16</f>
        <v>6697.16</v>
      </c>
      <c r="L18" s="9"/>
      <c r="M18" s="8"/>
      <c r="AE18" s="46">
        <f>+AE16</f>
        <v>-6697.1596428571429</v>
      </c>
    </row>
    <row r="19" spans="1:31" x14ac:dyDescent="0.2">
      <c r="K19" s="8"/>
      <c r="L19" s="9"/>
      <c r="M19" s="8"/>
    </row>
    <row r="20" spans="1:31" ht="12" x14ac:dyDescent="0.2">
      <c r="C20" s="47" t="s">
        <v>125</v>
      </c>
      <c r="G20" s="10"/>
      <c r="K20" s="62"/>
      <c r="L20" s="62"/>
      <c r="M20" s="62" t="s">
        <v>127</v>
      </c>
      <c r="N20" s="2">
        <f>K5+K6+J7+K8+J10+K11+J12</f>
        <v>6527.16</v>
      </c>
    </row>
    <row r="21" spans="1:31" x14ac:dyDescent="0.2">
      <c r="K21" s="8"/>
      <c r="L21" s="9"/>
      <c r="M21" s="62" t="s">
        <v>129</v>
      </c>
      <c r="N21" s="2">
        <f>R16</f>
        <v>151.79</v>
      </c>
    </row>
    <row r="22" spans="1:31" x14ac:dyDescent="0.2">
      <c r="K22" s="8"/>
      <c r="L22" s="9"/>
      <c r="M22" s="63" t="s">
        <v>131</v>
      </c>
      <c r="N22" s="64">
        <f>SUM(N20:N21)</f>
        <v>6678.95</v>
      </c>
    </row>
    <row r="23" spans="1:31" x14ac:dyDescent="0.2">
      <c r="A23" s="1"/>
      <c r="B23" s="1"/>
      <c r="D23" s="1"/>
      <c r="E23" s="1"/>
      <c r="F23" s="1"/>
      <c r="H23" s="1"/>
      <c r="I23" s="1"/>
      <c r="J23" s="1"/>
      <c r="K23" s="8"/>
      <c r="L23" s="9"/>
      <c r="M23" s="8"/>
      <c r="N23" s="1"/>
      <c r="O23" s="1"/>
      <c r="P23" s="1"/>
      <c r="Q23" s="1"/>
      <c r="R23" s="1"/>
      <c r="S23" s="1"/>
      <c r="T23" s="1"/>
      <c r="U23" s="1"/>
      <c r="V23" s="1"/>
      <c r="W23" s="1"/>
      <c r="Y23" s="1"/>
      <c r="Z23" s="1"/>
      <c r="AA23" s="1"/>
      <c r="AB23" s="1"/>
      <c r="AC23" s="1"/>
      <c r="AD23" s="1"/>
      <c r="AE23" s="1"/>
    </row>
    <row r="30" spans="1:31" x14ac:dyDescent="0.2">
      <c r="Q30" s="2">
        <v>0</v>
      </c>
    </row>
    <row r="31" spans="1:31" x14ac:dyDescent="0.2">
      <c r="A31" s="1"/>
      <c r="B31" s="1"/>
      <c r="D31" s="1"/>
      <c r="E31" s="1"/>
      <c r="F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Y31" s="1"/>
      <c r="Z31" s="1"/>
      <c r="AA31" s="1"/>
      <c r="AB31" s="1"/>
      <c r="AC31" s="1"/>
      <c r="AD31" s="1"/>
      <c r="AE31" s="1"/>
    </row>
  </sheetData>
  <pageMargins left="0.7" right="0.7" top="0.75" bottom="0.75" header="0.3" footer="0.3"/>
  <pageSetup paperSize="5" scale="95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workbookViewId="0">
      <selection sqref="A1:XFD1048576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3.28515625" style="1" customWidth="1"/>
    <col min="4" max="4" width="13" style="5" customWidth="1"/>
    <col min="5" max="5" width="29.140625" style="5" customWidth="1"/>
    <col min="6" max="6" width="6.28515625" style="4" customWidth="1"/>
    <col min="7" max="7" width="28.28515625" style="1" customWidth="1"/>
    <col min="8" max="8" width="11" style="2" hidden="1" customWidth="1"/>
    <col min="9" max="9" width="8.42578125" style="2" hidden="1" customWidth="1"/>
    <col min="10" max="10" width="8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9.5703125" style="2" customWidth="1"/>
    <col min="18" max="18" width="10.7109375" style="2" customWidth="1"/>
    <col min="19" max="19" width="9.140625" style="2" customWidth="1"/>
    <col min="20" max="20" width="9.140625" style="2" hidden="1" customWidth="1"/>
    <col min="21" max="21" width="10.5703125" style="2" hidden="1" customWidth="1"/>
    <col min="22" max="22" width="8.140625" style="2" hidden="1" customWidth="1"/>
    <col min="23" max="23" width="9.85546875" style="2" hidden="1" customWidth="1"/>
    <col min="24" max="24" width="9.28515625" style="2" hidden="1" customWidth="1"/>
    <col min="25" max="25" width="8.28515625" style="2" hidden="1" customWidth="1"/>
    <col min="26" max="26" width="8.7109375" style="2" customWidth="1"/>
    <col min="27" max="27" width="9.5703125" style="2" hidden="1" customWidth="1"/>
    <col min="28" max="28" width="8" style="2" hidden="1" customWidth="1"/>
    <col min="29" max="29" width="8" style="2" customWidth="1"/>
    <col min="30" max="30" width="10.140625" style="2" hidden="1" customWidth="1"/>
    <col min="31" max="31" width="10.7109375" style="2" customWidth="1"/>
    <col min="32" max="32" width="8.85546875" style="1" customWidth="1"/>
    <col min="33" max="16384" width="9.140625" style="1"/>
  </cols>
  <sheetData>
    <row r="1" spans="1:32" ht="12" customHeight="1" x14ac:dyDescent="0.2">
      <c r="A1" s="13" t="s">
        <v>30</v>
      </c>
      <c r="C1" s="14"/>
    </row>
    <row r="2" spans="1:32" ht="12" customHeight="1" x14ac:dyDescent="0.2">
      <c r="A2" s="13" t="s">
        <v>26</v>
      </c>
    </row>
    <row r="3" spans="1:32" ht="12" customHeight="1" x14ac:dyDescent="0.2">
      <c r="A3" s="13" t="s">
        <v>97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6212</v>
      </c>
      <c r="T3" s="16"/>
      <c r="U3" s="16"/>
      <c r="V3" s="16"/>
      <c r="W3" s="16"/>
      <c r="X3" s="16" t="s">
        <v>25</v>
      </c>
      <c r="Y3" s="16"/>
      <c r="Z3" s="16">
        <v>6230</v>
      </c>
      <c r="AA3" s="16" t="s">
        <v>24</v>
      </c>
      <c r="AB3" s="16">
        <v>6202</v>
      </c>
      <c r="AC3" s="16"/>
      <c r="AD3" s="16">
        <v>6109</v>
      </c>
      <c r="AE3" s="16">
        <v>1002</v>
      </c>
    </row>
    <row r="4" spans="1:32" s="11" customFormat="1" ht="44.2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32</v>
      </c>
      <c r="S4" s="21" t="s">
        <v>7</v>
      </c>
      <c r="T4" s="21" t="s">
        <v>28</v>
      </c>
      <c r="U4" s="21" t="s">
        <v>34</v>
      </c>
      <c r="V4" s="21" t="s">
        <v>35</v>
      </c>
      <c r="W4" s="21" t="s">
        <v>36</v>
      </c>
      <c r="X4" s="21" t="s">
        <v>6</v>
      </c>
      <c r="Y4" s="21" t="s">
        <v>29</v>
      </c>
      <c r="Z4" s="21" t="s">
        <v>5</v>
      </c>
      <c r="AA4" s="21" t="s">
        <v>4</v>
      </c>
      <c r="AB4" s="22" t="s">
        <v>3</v>
      </c>
      <c r="AC4" s="21" t="s">
        <v>1</v>
      </c>
      <c r="AD4" s="23" t="s">
        <v>2</v>
      </c>
      <c r="AE4" s="24" t="s">
        <v>0</v>
      </c>
    </row>
    <row r="5" spans="1:32" s="12" customFormat="1" ht="23.25" customHeight="1" x14ac:dyDescent="0.2">
      <c r="A5" s="30">
        <v>44064</v>
      </c>
      <c r="B5" s="31"/>
      <c r="C5" s="25" t="s">
        <v>48</v>
      </c>
      <c r="D5" s="25" t="s">
        <v>46</v>
      </c>
      <c r="E5" s="25" t="s">
        <v>49</v>
      </c>
      <c r="F5" s="26"/>
      <c r="G5" s="26" t="s">
        <v>98</v>
      </c>
      <c r="H5" s="32"/>
      <c r="I5" s="32"/>
      <c r="J5" s="32"/>
      <c r="K5" s="32">
        <f>2865.35-J6</f>
        <v>2777.95</v>
      </c>
      <c r="L5" s="33"/>
      <c r="M5" s="27">
        <f t="shared" ref="M5:M20" si="0">SUM(H5:J5,K5/1.12)</f>
        <v>2480.3124999999995</v>
      </c>
      <c r="N5" s="27">
        <f t="shared" ref="N5:N20" si="1">K5/1.12*0.12</f>
        <v>297.63749999999993</v>
      </c>
      <c r="O5" s="27">
        <f t="shared" ref="O5:O20" si="2">-SUM(I5:J5,K5/1.12)*L5</f>
        <v>0</v>
      </c>
      <c r="P5" s="27">
        <v>2480.31</v>
      </c>
      <c r="Q5" s="34"/>
      <c r="R5" s="34"/>
      <c r="S5" s="35"/>
      <c r="T5" s="35"/>
      <c r="U5" s="35"/>
      <c r="V5" s="35"/>
      <c r="W5" s="34"/>
      <c r="X5" s="34"/>
      <c r="Y5" s="34"/>
      <c r="Z5" s="34"/>
      <c r="AA5" s="35"/>
      <c r="AB5" s="35"/>
      <c r="AC5" s="34"/>
      <c r="AD5" s="34"/>
      <c r="AE5" s="27">
        <f t="shared" ref="AE5:AE21" si="3">-SUM(N5:AD5)</f>
        <v>-2777.9474999999998</v>
      </c>
      <c r="AF5" s="28">
        <f t="shared" ref="AF5:AF18" si="4">SUM(H5:K5)+AE5+O5</f>
        <v>2.5000000000545697E-3</v>
      </c>
    </row>
    <row r="6" spans="1:32" s="12" customFormat="1" ht="23.25" customHeight="1" x14ac:dyDescent="0.2">
      <c r="A6" s="30">
        <v>44064</v>
      </c>
      <c r="B6" s="31"/>
      <c r="C6" s="25" t="s">
        <v>48</v>
      </c>
      <c r="D6" s="25" t="s">
        <v>46</v>
      </c>
      <c r="E6" s="25" t="s">
        <v>49</v>
      </c>
      <c r="F6" s="26"/>
      <c r="G6" s="26" t="s">
        <v>99</v>
      </c>
      <c r="H6" s="32"/>
      <c r="I6" s="32"/>
      <c r="J6" s="32">
        <f>43.7*2</f>
        <v>87.4</v>
      </c>
      <c r="K6" s="32"/>
      <c r="L6" s="33"/>
      <c r="M6" s="27">
        <f t="shared" si="0"/>
        <v>87.4</v>
      </c>
      <c r="N6" s="27">
        <f t="shared" si="1"/>
        <v>0</v>
      </c>
      <c r="O6" s="27">
        <f t="shared" si="2"/>
        <v>0</v>
      </c>
      <c r="P6" s="27">
        <v>87.4</v>
      </c>
      <c r="Q6" s="34"/>
      <c r="R6" s="34"/>
      <c r="S6" s="35"/>
      <c r="T6" s="35"/>
      <c r="U6" s="35"/>
      <c r="V6" s="35"/>
      <c r="W6" s="34"/>
      <c r="X6" s="34"/>
      <c r="Y6" s="34"/>
      <c r="Z6" s="34"/>
      <c r="AA6" s="35"/>
      <c r="AB6" s="35"/>
      <c r="AC6" s="34"/>
      <c r="AD6" s="34"/>
      <c r="AE6" s="27">
        <f t="shared" si="3"/>
        <v>-87.4</v>
      </c>
      <c r="AF6" s="28">
        <f t="shared" si="4"/>
        <v>0</v>
      </c>
    </row>
    <row r="7" spans="1:32" s="12" customFormat="1" ht="23.25" customHeight="1" x14ac:dyDescent="0.2">
      <c r="A7" s="30">
        <v>44064</v>
      </c>
      <c r="B7" s="31"/>
      <c r="C7" s="25" t="s">
        <v>100</v>
      </c>
      <c r="D7" s="25" t="s">
        <v>54</v>
      </c>
      <c r="E7" s="25" t="s">
        <v>101</v>
      </c>
      <c r="F7" s="26"/>
      <c r="G7" s="26" t="s">
        <v>38</v>
      </c>
      <c r="H7" s="32"/>
      <c r="I7" s="32"/>
      <c r="J7" s="32"/>
      <c r="K7" s="32">
        <v>25</v>
      </c>
      <c r="L7" s="33"/>
      <c r="M7" s="27">
        <f t="shared" si="0"/>
        <v>22.321428571428569</v>
      </c>
      <c r="N7" s="27">
        <f t="shared" si="1"/>
        <v>2.6785714285714284</v>
      </c>
      <c r="O7" s="27">
        <f t="shared" si="2"/>
        <v>0</v>
      </c>
      <c r="P7" s="27"/>
      <c r="Q7" s="34">
        <v>22.32</v>
      </c>
      <c r="R7" s="34"/>
      <c r="S7" s="35"/>
      <c r="T7" s="35"/>
      <c r="U7" s="35"/>
      <c r="V7" s="35"/>
      <c r="W7" s="34"/>
      <c r="X7" s="34"/>
      <c r="Y7" s="34"/>
      <c r="Z7" s="34"/>
      <c r="AA7" s="35"/>
      <c r="AB7" s="35"/>
      <c r="AC7" s="34"/>
      <c r="AD7" s="34"/>
      <c r="AE7" s="27">
        <f t="shared" si="3"/>
        <v>-24.998571428571427</v>
      </c>
      <c r="AF7" s="28">
        <f t="shared" si="4"/>
        <v>1.4285714285726669E-3</v>
      </c>
    </row>
    <row r="8" spans="1:32" s="12" customFormat="1" ht="23.25" customHeight="1" x14ac:dyDescent="0.2">
      <c r="A8" s="30">
        <v>44064</v>
      </c>
      <c r="B8" s="31"/>
      <c r="C8" s="25" t="s">
        <v>67</v>
      </c>
      <c r="D8" s="25"/>
      <c r="E8" s="25"/>
      <c r="F8" s="26"/>
      <c r="G8" s="26" t="s">
        <v>102</v>
      </c>
      <c r="H8" s="32"/>
      <c r="I8" s="32"/>
      <c r="J8" s="32">
        <v>60</v>
      </c>
      <c r="K8" s="32"/>
      <c r="L8" s="33"/>
      <c r="M8" s="27">
        <f t="shared" si="0"/>
        <v>60</v>
      </c>
      <c r="N8" s="27">
        <f t="shared" si="1"/>
        <v>0</v>
      </c>
      <c r="O8" s="27">
        <f t="shared" si="2"/>
        <v>0</v>
      </c>
      <c r="P8" s="27"/>
      <c r="Q8" s="34"/>
      <c r="R8" s="34"/>
      <c r="S8" s="35"/>
      <c r="T8" s="35"/>
      <c r="U8" s="35"/>
      <c r="V8" s="35"/>
      <c r="W8" s="34"/>
      <c r="X8" s="34"/>
      <c r="Y8" s="34"/>
      <c r="Z8" s="34">
        <v>60</v>
      </c>
      <c r="AA8" s="35"/>
      <c r="AB8" s="35"/>
      <c r="AC8" s="34"/>
      <c r="AD8" s="34"/>
      <c r="AE8" s="27">
        <f t="shared" si="3"/>
        <v>-60</v>
      </c>
      <c r="AF8" s="28">
        <f t="shared" si="4"/>
        <v>0</v>
      </c>
    </row>
    <row r="9" spans="1:32" s="12" customFormat="1" ht="23.25" customHeight="1" x14ac:dyDescent="0.2">
      <c r="A9" s="30">
        <v>44067</v>
      </c>
      <c r="B9" s="31"/>
      <c r="C9" s="25" t="s">
        <v>103</v>
      </c>
      <c r="D9" s="25" t="s">
        <v>43</v>
      </c>
      <c r="E9" s="25" t="s">
        <v>104</v>
      </c>
      <c r="F9" s="26"/>
      <c r="G9" s="26" t="s">
        <v>105</v>
      </c>
      <c r="H9" s="32"/>
      <c r="I9" s="32"/>
      <c r="J9" s="32"/>
      <c r="K9" s="32">
        <v>1450</v>
      </c>
      <c r="L9" s="33"/>
      <c r="M9" s="27">
        <f t="shared" si="0"/>
        <v>1294.6428571428571</v>
      </c>
      <c r="N9" s="27">
        <f t="shared" si="1"/>
        <v>155.35714285714286</v>
      </c>
      <c r="O9" s="27">
        <f t="shared" si="2"/>
        <v>0</v>
      </c>
      <c r="P9" s="27">
        <v>1294.6400000000001</v>
      </c>
      <c r="Q9" s="34"/>
      <c r="R9" s="34"/>
      <c r="S9" s="35"/>
      <c r="T9" s="35"/>
      <c r="U9" s="35"/>
      <c r="V9" s="35"/>
      <c r="W9" s="34"/>
      <c r="X9" s="34"/>
      <c r="Y9" s="34"/>
      <c r="Z9" s="34"/>
      <c r="AA9" s="35"/>
      <c r="AB9" s="35"/>
      <c r="AC9" s="34"/>
      <c r="AD9" s="34"/>
      <c r="AE9" s="27">
        <f t="shared" si="3"/>
        <v>-1449.997142857143</v>
      </c>
      <c r="AF9" s="28">
        <f t="shared" si="4"/>
        <v>2.8571428570103308E-3</v>
      </c>
    </row>
    <row r="10" spans="1:32" s="12" customFormat="1" ht="27.75" customHeight="1" x14ac:dyDescent="0.2">
      <c r="A10" s="30">
        <v>44067</v>
      </c>
      <c r="B10" s="31"/>
      <c r="C10" s="25" t="s">
        <v>106</v>
      </c>
      <c r="D10" s="25" t="s">
        <v>62</v>
      </c>
      <c r="E10" s="25" t="s">
        <v>107</v>
      </c>
      <c r="F10" s="26"/>
      <c r="G10" s="26" t="s">
        <v>108</v>
      </c>
      <c r="H10" s="32"/>
      <c r="I10" s="32"/>
      <c r="J10" s="32"/>
      <c r="K10" s="32">
        <v>280</v>
      </c>
      <c r="L10" s="33"/>
      <c r="M10" s="27">
        <f t="shared" si="0"/>
        <v>249.99999999999997</v>
      </c>
      <c r="N10" s="27">
        <f t="shared" si="1"/>
        <v>29.999999999999996</v>
      </c>
      <c r="O10" s="27">
        <f t="shared" si="2"/>
        <v>0</v>
      </c>
      <c r="P10" s="27">
        <v>250</v>
      </c>
      <c r="Q10" s="34"/>
      <c r="R10" s="34"/>
      <c r="S10" s="35"/>
      <c r="T10" s="35"/>
      <c r="U10" s="35"/>
      <c r="V10" s="35"/>
      <c r="W10" s="34"/>
      <c r="X10" s="34"/>
      <c r="Y10" s="34"/>
      <c r="Z10" s="34"/>
      <c r="AA10" s="35"/>
      <c r="AB10" s="35"/>
      <c r="AC10" s="34"/>
      <c r="AD10" s="34"/>
      <c r="AE10" s="27">
        <f t="shared" si="3"/>
        <v>-280</v>
      </c>
      <c r="AF10" s="28">
        <f t="shared" si="4"/>
        <v>0</v>
      </c>
    </row>
    <row r="11" spans="1:32" s="12" customFormat="1" ht="23.25" customHeight="1" x14ac:dyDescent="0.2">
      <c r="A11" s="30">
        <v>44067</v>
      </c>
      <c r="B11" s="31"/>
      <c r="C11" s="25" t="s">
        <v>41</v>
      </c>
      <c r="D11" s="25"/>
      <c r="E11" s="25"/>
      <c r="F11" s="26"/>
      <c r="G11" s="26" t="s">
        <v>109</v>
      </c>
      <c r="H11" s="32"/>
      <c r="I11" s="32"/>
      <c r="J11" s="32">
        <v>150</v>
      </c>
      <c r="K11" s="32"/>
      <c r="L11" s="33"/>
      <c r="M11" s="27">
        <f t="shared" si="0"/>
        <v>150</v>
      </c>
      <c r="N11" s="27">
        <f t="shared" si="1"/>
        <v>0</v>
      </c>
      <c r="O11" s="27">
        <f t="shared" si="2"/>
        <v>0</v>
      </c>
      <c r="P11" s="27"/>
      <c r="Q11" s="34"/>
      <c r="R11" s="34"/>
      <c r="S11" s="35"/>
      <c r="T11" s="35"/>
      <c r="U11" s="35"/>
      <c r="V11" s="35"/>
      <c r="W11" s="34"/>
      <c r="X11" s="34"/>
      <c r="Y11" s="34"/>
      <c r="Z11" s="34">
        <v>150</v>
      </c>
      <c r="AA11" s="35"/>
      <c r="AB11" s="35"/>
      <c r="AC11" s="34"/>
      <c r="AD11" s="34"/>
      <c r="AE11" s="27">
        <f t="shared" si="3"/>
        <v>-150</v>
      </c>
      <c r="AF11" s="28">
        <f t="shared" si="4"/>
        <v>0</v>
      </c>
    </row>
    <row r="12" spans="1:32" s="12" customFormat="1" ht="23.25" customHeight="1" x14ac:dyDescent="0.2">
      <c r="A12" s="30">
        <v>44067</v>
      </c>
      <c r="B12" s="31"/>
      <c r="C12" s="25" t="s">
        <v>50</v>
      </c>
      <c r="D12" s="25" t="s">
        <v>44</v>
      </c>
      <c r="E12" s="25" t="s">
        <v>51</v>
      </c>
      <c r="F12" s="26"/>
      <c r="G12" s="26" t="s">
        <v>38</v>
      </c>
      <c r="H12" s="32"/>
      <c r="I12" s="32"/>
      <c r="J12" s="32"/>
      <c r="K12" s="32">
        <v>42</v>
      </c>
      <c r="L12" s="33"/>
      <c r="M12" s="27">
        <f t="shared" si="0"/>
        <v>37.499999999999993</v>
      </c>
      <c r="N12" s="27">
        <f t="shared" si="1"/>
        <v>4.4999999999999991</v>
      </c>
      <c r="O12" s="27">
        <f t="shared" si="2"/>
        <v>0</v>
      </c>
      <c r="P12" s="34"/>
      <c r="Q12" s="34">
        <v>37.5</v>
      </c>
      <c r="R12" s="34"/>
      <c r="S12" s="35"/>
      <c r="T12" s="35"/>
      <c r="U12" s="35"/>
      <c r="V12" s="35"/>
      <c r="W12" s="34"/>
      <c r="X12" s="34"/>
      <c r="Y12" s="34"/>
      <c r="Z12" s="34"/>
      <c r="AA12" s="35"/>
      <c r="AB12" s="35"/>
      <c r="AC12" s="34"/>
      <c r="AD12" s="34"/>
      <c r="AE12" s="27">
        <f t="shared" si="3"/>
        <v>-42</v>
      </c>
      <c r="AF12" s="28">
        <f t="shared" si="4"/>
        <v>0</v>
      </c>
    </row>
    <row r="13" spans="1:32" s="12" customFormat="1" ht="23.25" customHeight="1" x14ac:dyDescent="0.2">
      <c r="A13" s="30">
        <v>44067</v>
      </c>
      <c r="B13" s="31"/>
      <c r="C13" s="25" t="s">
        <v>39</v>
      </c>
      <c r="D13" s="25" t="s">
        <v>40</v>
      </c>
      <c r="E13" s="25" t="s">
        <v>37</v>
      </c>
      <c r="F13" s="26"/>
      <c r="G13" s="26" t="s">
        <v>110</v>
      </c>
      <c r="H13" s="32"/>
      <c r="I13" s="32"/>
      <c r="J13" s="32"/>
      <c r="K13" s="32">
        <v>117</v>
      </c>
      <c r="L13" s="33"/>
      <c r="M13" s="27">
        <f t="shared" si="0"/>
        <v>104.46428571428571</v>
      </c>
      <c r="N13" s="27">
        <f t="shared" si="1"/>
        <v>12.535714285714285</v>
      </c>
      <c r="O13" s="27">
        <f t="shared" si="2"/>
        <v>0</v>
      </c>
      <c r="P13" s="27">
        <v>104.46</v>
      </c>
      <c r="Q13" s="34"/>
      <c r="R13" s="34"/>
      <c r="S13" s="35"/>
      <c r="T13" s="35"/>
      <c r="U13" s="35"/>
      <c r="V13" s="35"/>
      <c r="W13" s="34"/>
      <c r="X13" s="34"/>
      <c r="Y13" s="34"/>
      <c r="Z13" s="34"/>
      <c r="AA13" s="35"/>
      <c r="AB13" s="35"/>
      <c r="AC13" s="34"/>
      <c r="AD13" s="34"/>
      <c r="AE13" s="27">
        <f t="shared" si="3"/>
        <v>-116.99571428571429</v>
      </c>
      <c r="AF13" s="28">
        <f t="shared" si="4"/>
        <v>4.2857142857144481E-3</v>
      </c>
    </row>
    <row r="14" spans="1:32" s="12" customFormat="1" ht="23.25" customHeight="1" x14ac:dyDescent="0.2">
      <c r="A14" s="30">
        <v>44067</v>
      </c>
      <c r="B14" s="31"/>
      <c r="C14" s="25" t="s">
        <v>111</v>
      </c>
      <c r="D14" s="25" t="s">
        <v>112</v>
      </c>
      <c r="E14" s="25" t="s">
        <v>37</v>
      </c>
      <c r="F14" s="26"/>
      <c r="G14" s="26" t="s">
        <v>113</v>
      </c>
      <c r="H14" s="32"/>
      <c r="I14" s="32"/>
      <c r="J14" s="32"/>
      <c r="K14" s="32">
        <v>60.5</v>
      </c>
      <c r="L14" s="33"/>
      <c r="M14" s="27">
        <f t="shared" si="0"/>
        <v>54.017857142857139</v>
      </c>
      <c r="N14" s="27">
        <f t="shared" si="1"/>
        <v>6.4821428571428568</v>
      </c>
      <c r="O14" s="27">
        <f t="shared" si="2"/>
        <v>0</v>
      </c>
      <c r="P14" s="27"/>
      <c r="Q14" s="34"/>
      <c r="R14" s="34"/>
      <c r="S14" s="35">
        <v>54.02</v>
      </c>
      <c r="T14" s="35"/>
      <c r="U14" s="35"/>
      <c r="V14" s="35"/>
      <c r="W14" s="34"/>
      <c r="X14" s="34"/>
      <c r="Y14" s="34"/>
      <c r="Z14" s="34"/>
      <c r="AA14" s="35"/>
      <c r="AB14" s="35"/>
      <c r="AC14" s="34"/>
      <c r="AD14" s="34"/>
      <c r="AE14" s="27">
        <f t="shared" si="3"/>
        <v>-60.502142857142857</v>
      </c>
      <c r="AF14" s="28">
        <f t="shared" si="4"/>
        <v>-2.1428571428572241E-3</v>
      </c>
    </row>
    <row r="15" spans="1:32" s="12" customFormat="1" ht="23.25" customHeight="1" x14ac:dyDescent="0.2">
      <c r="A15" s="30">
        <v>44067</v>
      </c>
      <c r="B15" s="31"/>
      <c r="C15" s="25" t="s">
        <v>39</v>
      </c>
      <c r="D15" s="25" t="s">
        <v>40</v>
      </c>
      <c r="E15" s="25" t="s">
        <v>37</v>
      </c>
      <c r="F15" s="26"/>
      <c r="G15" s="26" t="s">
        <v>114</v>
      </c>
      <c r="H15" s="32"/>
      <c r="I15" s="32"/>
      <c r="J15" s="32">
        <f>364.52-89</f>
        <v>275.52</v>
      </c>
      <c r="K15" s="32"/>
      <c r="L15" s="33"/>
      <c r="M15" s="27">
        <f t="shared" si="0"/>
        <v>275.52</v>
      </c>
      <c r="N15" s="27">
        <f t="shared" si="1"/>
        <v>0</v>
      </c>
      <c r="O15" s="27">
        <f t="shared" si="2"/>
        <v>0</v>
      </c>
      <c r="P15" s="27">
        <v>275.52</v>
      </c>
      <c r="Q15" s="34"/>
      <c r="R15" s="34"/>
      <c r="S15" s="35"/>
      <c r="T15" s="35"/>
      <c r="U15" s="35"/>
      <c r="V15" s="35"/>
      <c r="W15" s="34"/>
      <c r="X15" s="34"/>
      <c r="Y15" s="34"/>
      <c r="Z15" s="34"/>
      <c r="AA15" s="35"/>
      <c r="AB15" s="35"/>
      <c r="AC15" s="34"/>
      <c r="AD15" s="34"/>
      <c r="AE15" s="27">
        <f t="shared" si="3"/>
        <v>-275.52</v>
      </c>
      <c r="AF15" s="28">
        <f t="shared" si="4"/>
        <v>0</v>
      </c>
    </row>
    <row r="16" spans="1:32" s="12" customFormat="1" ht="23.25" customHeight="1" x14ac:dyDescent="0.2">
      <c r="A16" s="30">
        <v>44067</v>
      </c>
      <c r="B16" s="31"/>
      <c r="C16" s="25" t="s">
        <v>39</v>
      </c>
      <c r="D16" s="25" t="s">
        <v>40</v>
      </c>
      <c r="E16" s="25" t="s">
        <v>37</v>
      </c>
      <c r="F16" s="26"/>
      <c r="G16" s="26" t="s">
        <v>115</v>
      </c>
      <c r="H16" s="32"/>
      <c r="I16" s="32"/>
      <c r="J16" s="32"/>
      <c r="K16" s="32">
        <v>89</v>
      </c>
      <c r="L16" s="33"/>
      <c r="M16" s="27">
        <f t="shared" si="0"/>
        <v>79.464285714285708</v>
      </c>
      <c r="N16" s="27">
        <f t="shared" si="1"/>
        <v>9.5357142857142847</v>
      </c>
      <c r="O16" s="27">
        <f t="shared" si="2"/>
        <v>0</v>
      </c>
      <c r="P16" s="27">
        <v>79.459999999999994</v>
      </c>
      <c r="Q16" s="34"/>
      <c r="R16" s="34"/>
      <c r="S16" s="35"/>
      <c r="T16" s="35"/>
      <c r="U16" s="35"/>
      <c r="V16" s="35"/>
      <c r="W16" s="34"/>
      <c r="X16" s="34"/>
      <c r="Y16" s="34"/>
      <c r="Z16" s="34"/>
      <c r="AA16" s="35"/>
      <c r="AB16" s="35"/>
      <c r="AC16" s="34"/>
      <c r="AD16" s="34"/>
      <c r="AE16" s="27">
        <f t="shared" si="3"/>
        <v>-88.995714285714286</v>
      </c>
      <c r="AF16" s="28">
        <f t="shared" si="4"/>
        <v>4.2857142857144481E-3</v>
      </c>
    </row>
    <row r="17" spans="1:32" s="12" customFormat="1" ht="23.25" customHeight="1" x14ac:dyDescent="0.2">
      <c r="A17" s="30">
        <v>44068</v>
      </c>
      <c r="B17" s="31"/>
      <c r="C17" s="25" t="s">
        <v>116</v>
      </c>
      <c r="D17" s="25"/>
      <c r="E17" s="25"/>
      <c r="F17" s="26"/>
      <c r="G17" s="26" t="s">
        <v>117</v>
      </c>
      <c r="H17" s="32"/>
      <c r="I17" s="32"/>
      <c r="J17" s="32">
        <v>163</v>
      </c>
      <c r="K17" s="32"/>
      <c r="L17" s="33"/>
      <c r="M17" s="27">
        <f t="shared" si="0"/>
        <v>163</v>
      </c>
      <c r="N17" s="27">
        <f t="shared" si="1"/>
        <v>0</v>
      </c>
      <c r="O17" s="27">
        <f t="shared" si="2"/>
        <v>0</v>
      </c>
      <c r="P17" s="27"/>
      <c r="Q17" s="34"/>
      <c r="R17" s="34"/>
      <c r="S17" s="35"/>
      <c r="T17" s="35"/>
      <c r="U17" s="35"/>
      <c r="V17" s="35"/>
      <c r="W17" s="34"/>
      <c r="X17" s="34"/>
      <c r="Y17" s="34"/>
      <c r="Z17" s="34">
        <v>163</v>
      </c>
      <c r="AA17" s="35"/>
      <c r="AB17" s="35"/>
      <c r="AC17" s="34"/>
      <c r="AD17" s="34"/>
      <c r="AE17" s="27">
        <f t="shared" si="3"/>
        <v>-163</v>
      </c>
      <c r="AF17" s="28">
        <f t="shared" si="4"/>
        <v>0</v>
      </c>
    </row>
    <row r="18" spans="1:32" s="12" customFormat="1" ht="23.25" customHeight="1" x14ac:dyDescent="0.2">
      <c r="A18" s="30">
        <v>44069</v>
      </c>
      <c r="B18" s="31"/>
      <c r="C18" s="25" t="s">
        <v>118</v>
      </c>
      <c r="D18" s="25"/>
      <c r="E18" s="25"/>
      <c r="F18" s="26"/>
      <c r="G18" s="26" t="s">
        <v>119</v>
      </c>
      <c r="H18" s="32"/>
      <c r="I18" s="32"/>
      <c r="J18" s="32">
        <v>50</v>
      </c>
      <c r="K18" s="32"/>
      <c r="L18" s="33"/>
      <c r="M18" s="27">
        <f t="shared" si="0"/>
        <v>50</v>
      </c>
      <c r="N18" s="27">
        <f t="shared" si="1"/>
        <v>0</v>
      </c>
      <c r="O18" s="27">
        <f t="shared" si="2"/>
        <v>0</v>
      </c>
      <c r="P18" s="27"/>
      <c r="Q18" s="34"/>
      <c r="R18" s="34"/>
      <c r="S18" s="35"/>
      <c r="T18" s="35"/>
      <c r="U18" s="35"/>
      <c r="V18" s="35"/>
      <c r="W18" s="34"/>
      <c r="X18" s="34"/>
      <c r="Y18" s="34"/>
      <c r="Z18" s="34">
        <v>50</v>
      </c>
      <c r="AA18" s="35"/>
      <c r="AB18" s="35"/>
      <c r="AC18" s="34"/>
      <c r="AD18" s="34"/>
      <c r="AE18" s="27">
        <f t="shared" si="3"/>
        <v>-50</v>
      </c>
      <c r="AF18" s="28">
        <f t="shared" si="4"/>
        <v>0</v>
      </c>
    </row>
    <row r="19" spans="1:32" s="12" customFormat="1" ht="23.25" customHeight="1" x14ac:dyDescent="0.2">
      <c r="A19" s="30">
        <v>44069</v>
      </c>
      <c r="B19" s="31"/>
      <c r="C19" s="25" t="s">
        <v>120</v>
      </c>
      <c r="D19" s="25"/>
      <c r="E19" s="25"/>
      <c r="F19" s="26"/>
      <c r="G19" s="26" t="s">
        <v>121</v>
      </c>
      <c r="H19" s="32"/>
      <c r="I19" s="32"/>
      <c r="J19" s="32">
        <v>100</v>
      </c>
      <c r="K19" s="32"/>
      <c r="L19" s="33"/>
      <c r="M19" s="27">
        <f t="shared" si="0"/>
        <v>100</v>
      </c>
      <c r="N19" s="27">
        <f t="shared" si="1"/>
        <v>0</v>
      </c>
      <c r="O19" s="27">
        <f t="shared" si="2"/>
        <v>0</v>
      </c>
      <c r="P19" s="27">
        <v>100</v>
      </c>
      <c r="Q19" s="34"/>
      <c r="R19" s="34"/>
      <c r="S19" s="35"/>
      <c r="T19" s="35"/>
      <c r="U19" s="35"/>
      <c r="V19" s="35"/>
      <c r="W19" s="34"/>
      <c r="X19" s="34"/>
      <c r="Y19" s="34"/>
      <c r="Z19" s="34"/>
      <c r="AA19" s="35"/>
      <c r="AB19" s="35"/>
      <c r="AC19" s="34"/>
      <c r="AD19" s="34"/>
      <c r="AE19" s="27">
        <f t="shared" si="3"/>
        <v>-100</v>
      </c>
      <c r="AF19" s="28"/>
    </row>
    <row r="20" spans="1:32" s="12" customFormat="1" ht="23.25" customHeight="1" x14ac:dyDescent="0.2">
      <c r="A20" s="30">
        <v>44069</v>
      </c>
      <c r="B20" s="31"/>
      <c r="C20" s="25" t="s">
        <v>122</v>
      </c>
      <c r="D20" s="25"/>
      <c r="E20" s="25" t="s">
        <v>123</v>
      </c>
      <c r="F20" s="26"/>
      <c r="G20" s="26" t="s">
        <v>124</v>
      </c>
      <c r="H20" s="32"/>
      <c r="I20" s="32"/>
      <c r="J20" s="32"/>
      <c r="K20" s="32">
        <v>1448</v>
      </c>
      <c r="L20" s="33"/>
      <c r="M20" s="27">
        <f t="shared" si="0"/>
        <v>1292.8571428571427</v>
      </c>
      <c r="N20" s="27">
        <f t="shared" si="1"/>
        <v>155.14285714285711</v>
      </c>
      <c r="O20" s="27">
        <f t="shared" si="2"/>
        <v>0</v>
      </c>
      <c r="P20" s="27"/>
      <c r="Q20" s="34"/>
      <c r="R20" s="34">
        <v>1292.8599999999999</v>
      </c>
      <c r="S20" s="35"/>
      <c r="T20" s="35"/>
      <c r="U20" s="35"/>
      <c r="V20" s="35"/>
      <c r="W20" s="34"/>
      <c r="X20" s="34"/>
      <c r="Y20" s="34"/>
      <c r="Z20" s="34"/>
      <c r="AA20" s="35"/>
      <c r="AB20" s="35"/>
      <c r="AC20" s="34"/>
      <c r="AD20" s="34"/>
      <c r="AE20" s="27">
        <f t="shared" si="3"/>
        <v>-1448.002857142857</v>
      </c>
      <c r="AF20" s="28">
        <f>SUM(H20:K20)+AE20+O20</f>
        <v>-2.8571428570103308E-3</v>
      </c>
    </row>
    <row r="21" spans="1:32" s="12" customFormat="1" x14ac:dyDescent="0.2">
      <c r="A21" s="30"/>
      <c r="B21" s="31"/>
      <c r="C21" s="36"/>
      <c r="D21" s="36"/>
      <c r="E21" s="36"/>
      <c r="F21" s="26"/>
      <c r="G21" s="29"/>
      <c r="H21" s="32"/>
      <c r="I21" s="32"/>
      <c r="J21" s="32"/>
      <c r="K21" s="32"/>
      <c r="L21" s="33"/>
      <c r="M21" s="34">
        <f>SUM(H21:J21,K21/1.12)</f>
        <v>0</v>
      </c>
      <c r="N21" s="34">
        <f>K21/1.12*0.12</f>
        <v>0</v>
      </c>
      <c r="O21" s="34">
        <f>-SUM(I21:J21,K21/1.12)*L21</f>
        <v>0</v>
      </c>
      <c r="P21" s="34"/>
      <c r="Q21" s="34"/>
      <c r="R21" s="34"/>
      <c r="S21" s="35"/>
      <c r="T21" s="35"/>
      <c r="U21" s="35"/>
      <c r="V21" s="35"/>
      <c r="W21" s="35"/>
      <c r="X21" s="37"/>
      <c r="Y21" s="34"/>
      <c r="Z21" s="34"/>
      <c r="AA21" s="34"/>
      <c r="AB21" s="35"/>
      <c r="AC21" s="35"/>
      <c r="AD21" s="38"/>
      <c r="AE21" s="27">
        <f t="shared" si="3"/>
        <v>0</v>
      </c>
      <c r="AF21" s="28">
        <f>SUM(H21:K21)+AE21+O21</f>
        <v>0</v>
      </c>
    </row>
    <row r="22" spans="1:32" s="10" customFormat="1" ht="12" thickBot="1" x14ac:dyDescent="0.25">
      <c r="A22" s="39"/>
      <c r="B22" s="40"/>
      <c r="C22" s="41"/>
      <c r="D22" s="42"/>
      <c r="E22" s="42"/>
      <c r="F22" s="43"/>
      <c r="G22" s="41"/>
      <c r="H22" s="44">
        <f t="shared" ref="H22:AF22" si="5">SUM(H5:H21)</f>
        <v>0</v>
      </c>
      <c r="I22" s="44">
        <f t="shared" si="5"/>
        <v>0</v>
      </c>
      <c r="J22" s="44">
        <f t="shared" si="5"/>
        <v>885.92</v>
      </c>
      <c r="K22" s="44">
        <f t="shared" si="5"/>
        <v>6289.45</v>
      </c>
      <c r="L22" s="44">
        <f t="shared" si="5"/>
        <v>0</v>
      </c>
      <c r="M22" s="44">
        <f t="shared" si="5"/>
        <v>6501.5003571428551</v>
      </c>
      <c r="N22" s="44">
        <f t="shared" si="5"/>
        <v>673.86964285714282</v>
      </c>
      <c r="O22" s="44">
        <f t="shared" si="5"/>
        <v>0</v>
      </c>
      <c r="P22" s="44">
        <f t="shared" si="5"/>
        <v>4671.79</v>
      </c>
      <c r="Q22" s="44">
        <f t="shared" si="5"/>
        <v>59.82</v>
      </c>
      <c r="R22" s="44">
        <f t="shared" si="5"/>
        <v>1292.8599999999999</v>
      </c>
      <c r="S22" s="44">
        <f t="shared" si="5"/>
        <v>54.02</v>
      </c>
      <c r="T22" s="44">
        <f t="shared" si="5"/>
        <v>0</v>
      </c>
      <c r="U22" s="44">
        <f t="shared" si="5"/>
        <v>0</v>
      </c>
      <c r="V22" s="44">
        <f t="shared" si="5"/>
        <v>0</v>
      </c>
      <c r="W22" s="44">
        <f t="shared" si="5"/>
        <v>0</v>
      </c>
      <c r="X22" s="44">
        <f t="shared" si="5"/>
        <v>0</v>
      </c>
      <c r="Y22" s="44">
        <f t="shared" si="5"/>
        <v>0</v>
      </c>
      <c r="Z22" s="44">
        <f t="shared" si="5"/>
        <v>423</v>
      </c>
      <c r="AA22" s="44">
        <f t="shared" si="5"/>
        <v>0</v>
      </c>
      <c r="AB22" s="44">
        <f t="shared" si="5"/>
        <v>0</v>
      </c>
      <c r="AC22" s="44">
        <f t="shared" si="5"/>
        <v>0</v>
      </c>
      <c r="AD22" s="44">
        <f t="shared" si="5"/>
        <v>0</v>
      </c>
      <c r="AE22" s="44">
        <f t="shared" si="5"/>
        <v>-7175.3596428571436</v>
      </c>
      <c r="AF22" s="44">
        <f t="shared" si="5"/>
        <v>1.0357142857198909E-2</v>
      </c>
    </row>
    <row r="23" spans="1:32" ht="12" thickTop="1" x14ac:dyDescent="0.2"/>
    <row r="24" spans="1:32" ht="12" x14ac:dyDescent="0.2">
      <c r="K24" s="45">
        <f>H22+I22+J22+K22</f>
        <v>7175.37</v>
      </c>
      <c r="L24" s="9"/>
      <c r="M24" s="8"/>
      <c r="AE24" s="46">
        <f>+AE22</f>
        <v>-7175.3596428571436</v>
      </c>
    </row>
    <row r="25" spans="1:32" x14ac:dyDescent="0.2">
      <c r="K25" s="8"/>
      <c r="L25" s="9"/>
      <c r="M25" s="8"/>
    </row>
    <row r="26" spans="1:32" ht="12" x14ac:dyDescent="0.2">
      <c r="C26" s="47" t="s">
        <v>125</v>
      </c>
      <c r="G26" s="10"/>
      <c r="J26" s="2" t="s">
        <v>126</v>
      </c>
      <c r="K26" s="62">
        <v>5000</v>
      </c>
      <c r="L26" s="62"/>
      <c r="M26" s="62" t="s">
        <v>127</v>
      </c>
      <c r="N26" s="2">
        <f>K24-N27</f>
        <v>6691.87</v>
      </c>
    </row>
    <row r="27" spans="1:32" x14ac:dyDescent="0.2">
      <c r="J27" s="2" t="s">
        <v>128</v>
      </c>
      <c r="K27" s="8">
        <v>2184</v>
      </c>
      <c r="L27" s="9"/>
      <c r="M27" s="62" t="s">
        <v>129</v>
      </c>
      <c r="N27" s="2">
        <f>423+60.5</f>
        <v>483.5</v>
      </c>
    </row>
    <row r="28" spans="1:32" x14ac:dyDescent="0.2">
      <c r="J28" s="2" t="s">
        <v>130</v>
      </c>
      <c r="K28" s="8">
        <f>SUM(K26:K27)</f>
        <v>7184</v>
      </c>
      <c r="L28" s="9"/>
      <c r="M28" s="63" t="s">
        <v>131</v>
      </c>
      <c r="N28" s="64">
        <f>SUM(N26:N27)</f>
        <v>7175.37</v>
      </c>
    </row>
    <row r="29" spans="1:32" x14ac:dyDescent="0.2">
      <c r="A29" s="1"/>
      <c r="B29" s="1"/>
      <c r="D29" s="1"/>
      <c r="E29" s="1"/>
      <c r="F29" s="1"/>
      <c r="H29" s="1"/>
      <c r="I29" s="1"/>
      <c r="J29" s="1" t="s">
        <v>132</v>
      </c>
      <c r="K29" s="8">
        <f>K28-K24</f>
        <v>8.6300000000001091</v>
      </c>
      <c r="L29" s="9"/>
      <c r="M29" s="8"/>
      <c r="N29" s="1"/>
      <c r="O29" s="1"/>
      <c r="P29" s="1"/>
      <c r="Q29" s="1"/>
      <c r="R29" s="1"/>
      <c r="S29" s="1"/>
      <c r="T29" s="1"/>
      <c r="U29" s="1"/>
      <c r="V29" s="1"/>
      <c r="W29" s="1"/>
      <c r="Y29" s="1"/>
      <c r="Z29" s="1"/>
      <c r="AA29" s="1"/>
      <c r="AB29" s="1"/>
      <c r="AC29" s="1"/>
      <c r="AD29" s="1"/>
      <c r="AE29" s="1"/>
    </row>
    <row r="36" spans="1:31" x14ac:dyDescent="0.2">
      <c r="Q36" s="2">
        <v>0</v>
      </c>
    </row>
    <row r="37" spans="1:31" x14ac:dyDescent="0.2">
      <c r="A37" s="1"/>
      <c r="B37" s="1"/>
      <c r="D37" s="1"/>
      <c r="E37" s="1"/>
      <c r="F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Y37" s="1"/>
      <c r="Z37" s="1"/>
      <c r="AA37" s="1"/>
      <c r="AB37" s="1"/>
      <c r="AC37" s="1"/>
      <c r="AD37" s="1"/>
      <c r="AE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July31-Aug6</vt:lpstr>
      <vt:lpstr>Aug 8-15</vt:lpstr>
      <vt:lpstr>Aug 14-20</vt:lpstr>
      <vt:lpstr>Sheet1</vt:lpstr>
      <vt:lpstr>Aug24-29</vt:lpstr>
      <vt:lpstr>'Aug 14-20'!Print_Area</vt:lpstr>
      <vt:lpstr>'Aug 8-15'!Print_Area</vt:lpstr>
      <vt:lpstr>'July31-Aug6'!Print_Area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Tosh</cp:lastModifiedBy>
  <cp:lastPrinted>2020-09-03T08:07:38Z</cp:lastPrinted>
  <dcterms:created xsi:type="dcterms:W3CDTF">2014-11-05T03:52:28Z</dcterms:created>
  <dcterms:modified xsi:type="dcterms:W3CDTF">2020-09-03T10:07:51Z</dcterms:modified>
</cp:coreProperties>
</file>