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2020\MARIE's Report\Petty Cash\"/>
    </mc:Choice>
  </mc:AlternateContent>
  <bookViews>
    <workbookView xWindow="360" yWindow="1140" windowWidth="15015" windowHeight="6870" firstSheet="2" activeTab="8"/>
  </bookViews>
  <sheets>
    <sheet name="Sept 28-Oct 5" sheetId="74" r:id="rId1"/>
    <sheet name="Oct. 5-10" sheetId="75" r:id="rId2"/>
    <sheet name="Oct 12-17" sheetId="77" r:id="rId3"/>
    <sheet name="Oct14" sheetId="78" r:id="rId4"/>
    <sheet name="Oct. 15-19" sheetId="79" r:id="rId5"/>
    <sheet name="Oct 20-24" sheetId="80" r:id="rId6"/>
    <sheet name="Oct 24-29" sheetId="81" r:id="rId7"/>
    <sheet name="Oct 23-30" sheetId="82" r:id="rId8"/>
    <sheet name="Oct 29-30" sheetId="83" r:id="rId9"/>
  </sheets>
  <externalReferences>
    <externalReference r:id="rId10"/>
    <externalReference r:id="rId11"/>
    <externalReference r:id="rId12"/>
  </externalReferences>
  <definedNames>
    <definedName name="_OC1">[1]MAIN!$D$25</definedName>
    <definedName name="_OC10">[1]MAIN!$D$34</definedName>
    <definedName name="_OC11">[1]MAIN!$D$35</definedName>
    <definedName name="_OC12">[1]MAIN!$D$36</definedName>
    <definedName name="_OC13">[1]MAIN!$D$37</definedName>
    <definedName name="_OC14">[1]MAIN!$D$38</definedName>
    <definedName name="_OC15">[1]MAIN!$D$39</definedName>
    <definedName name="_OC2">[1]MAIN!$D$26</definedName>
    <definedName name="_OC3">[1]MAIN!$D$27</definedName>
    <definedName name="_OC4">[1]MAIN!$D$28</definedName>
    <definedName name="_OC5">[1]MAIN!$D$29</definedName>
    <definedName name="_OC6">[1]MAIN!$D$30</definedName>
    <definedName name="_OC7">[1]MAIN!$D$31</definedName>
    <definedName name="_OC8">[1]MAIN!$D$32</definedName>
    <definedName name="_OC9">[1]MAIN!$D$33</definedName>
    <definedName name="celMonth">'[2]Company Setup'!$K$5</definedName>
    <definedName name="celYear">'[2]Company Setup'!$K$3</definedName>
    <definedName name="LIMIT1">[3]MAIN!$F$25</definedName>
    <definedName name="LIMIT10">[3]MAIN!$F$34</definedName>
    <definedName name="LIMIT11">[3]MAIN!$F$35</definedName>
    <definedName name="LIMIT12">[3]MAIN!$F$36</definedName>
    <definedName name="LIMIT13">[3]MAIN!$F$37</definedName>
    <definedName name="LIMIT14">[3]MAIN!$F$38</definedName>
    <definedName name="LIMIT15">[3]MAIN!$F$39</definedName>
    <definedName name="LIMIT2">[3]MAIN!$F$26</definedName>
    <definedName name="LIMIT3">[3]MAIN!$F$27</definedName>
    <definedName name="LIMIT4">[3]MAIN!$F$28</definedName>
    <definedName name="LIMIT5">[3]MAIN!$F$29</definedName>
    <definedName name="LIMIT6">[3]MAIN!$F$30</definedName>
    <definedName name="LIMIT7">[3]MAIN!$F$31</definedName>
    <definedName name="LIMIT8">[3]MAIN!$F$32</definedName>
    <definedName name="LIMIT9">[3]MAIN!$F$33</definedName>
    <definedName name="_xlnm.Print_Area" localSheetId="2">'Oct 12-17'!$1:$27</definedName>
    <definedName name="_xlnm.Print_Area" localSheetId="7">'Oct 23-30'!$1:$28</definedName>
    <definedName name="_xlnm.Print_Area" localSheetId="6">'Oct 24-29'!$1:$38</definedName>
    <definedName name="_xlnm.Print_Area" localSheetId="3">'Oct14'!$1:$31</definedName>
    <definedName name="_xlnm.Print_Area" localSheetId="0">'Sept 28-Oct 5'!$1:$35</definedName>
  </definedNames>
  <calcPr calcId="152511" concurrentCalc="0"/>
</workbook>
</file>

<file path=xl/calcChain.xml><?xml version="1.0" encoding="utf-8"?>
<calcChain xmlns="http://schemas.openxmlformats.org/spreadsheetml/2006/main">
  <c r="Y13" i="82" l="1"/>
  <c r="K22" i="82"/>
  <c r="K20" i="82"/>
  <c r="K19" i="82"/>
  <c r="K19" i="83"/>
  <c r="K20" i="83"/>
  <c r="K21" i="83"/>
  <c r="K22" i="83"/>
  <c r="K23" i="83"/>
  <c r="K25" i="83"/>
  <c r="N5" i="83"/>
  <c r="O5" i="83"/>
  <c r="AF5" i="83"/>
  <c r="N6" i="83"/>
  <c r="O6" i="83"/>
  <c r="AF6" i="83"/>
  <c r="N7" i="83"/>
  <c r="O7" i="83"/>
  <c r="AF7" i="83"/>
  <c r="N8" i="83"/>
  <c r="O8" i="83"/>
  <c r="AF8" i="83"/>
  <c r="N9" i="83"/>
  <c r="O9" i="83"/>
  <c r="AF9" i="83"/>
  <c r="N10" i="83"/>
  <c r="O10" i="83"/>
  <c r="AF10" i="83"/>
  <c r="N11" i="83"/>
  <c r="O11" i="83"/>
  <c r="AF11" i="83"/>
  <c r="AF13" i="83"/>
  <c r="AF15" i="83"/>
  <c r="H13" i="83"/>
  <c r="J13" i="83"/>
  <c r="K13" i="83"/>
  <c r="K15" i="83"/>
  <c r="AG11" i="83"/>
  <c r="N12" i="83"/>
  <c r="O12" i="83"/>
  <c r="AF12" i="83"/>
  <c r="AG12" i="83"/>
  <c r="AG13" i="83"/>
  <c r="AE13" i="83"/>
  <c r="AD13" i="83"/>
  <c r="AC13" i="83"/>
  <c r="AB13" i="83"/>
  <c r="AA13" i="83"/>
  <c r="Z13" i="83"/>
  <c r="Y13" i="83"/>
  <c r="X13" i="83"/>
  <c r="W13" i="83"/>
  <c r="V13" i="83"/>
  <c r="U13" i="83"/>
  <c r="T13" i="83"/>
  <c r="S13" i="83"/>
  <c r="R13" i="83"/>
  <c r="Q13" i="83"/>
  <c r="P13" i="83"/>
  <c r="O13" i="83"/>
  <c r="N13" i="83"/>
  <c r="M5" i="83"/>
  <c r="M6" i="83"/>
  <c r="M7" i="83"/>
  <c r="M8" i="83"/>
  <c r="M9" i="83"/>
  <c r="M10" i="83"/>
  <c r="M11" i="83"/>
  <c r="M13" i="83"/>
  <c r="L13" i="83"/>
  <c r="I13" i="83"/>
  <c r="M12" i="83"/>
  <c r="AG10" i="83"/>
  <c r="AG9" i="83"/>
  <c r="AG8" i="83"/>
  <c r="AG7" i="83"/>
  <c r="AG6" i="83"/>
  <c r="AG5" i="83"/>
  <c r="K23" i="82"/>
  <c r="K25" i="82"/>
  <c r="N5" i="82"/>
  <c r="O5" i="82"/>
  <c r="AF5" i="82"/>
  <c r="N6" i="82"/>
  <c r="O6" i="82"/>
  <c r="AF6" i="82"/>
  <c r="N7" i="82"/>
  <c r="O7" i="82"/>
  <c r="AF7" i="82"/>
  <c r="N8" i="82"/>
  <c r="O8" i="82"/>
  <c r="AF8" i="82"/>
  <c r="N9" i="82"/>
  <c r="O9" i="82"/>
  <c r="AF9" i="82"/>
  <c r="N10" i="82"/>
  <c r="O10" i="82"/>
  <c r="AF10" i="82"/>
  <c r="N11" i="82"/>
  <c r="O11" i="82"/>
  <c r="AF11" i="82"/>
  <c r="AF13" i="82"/>
  <c r="AF15" i="82"/>
  <c r="H13" i="82"/>
  <c r="J13" i="82"/>
  <c r="K13" i="82"/>
  <c r="K15" i="82"/>
  <c r="AG11" i="82"/>
  <c r="N12" i="82"/>
  <c r="O12" i="82"/>
  <c r="AF12" i="82"/>
  <c r="AG12" i="82"/>
  <c r="AG13" i="82"/>
  <c r="AE13" i="82"/>
  <c r="AD13" i="82"/>
  <c r="AC13" i="82"/>
  <c r="AB13" i="82"/>
  <c r="AA13" i="82"/>
  <c r="Z13" i="82"/>
  <c r="X13" i="82"/>
  <c r="W13" i="82"/>
  <c r="V13" i="82"/>
  <c r="U13" i="82"/>
  <c r="T13" i="82"/>
  <c r="S13" i="82"/>
  <c r="R13" i="82"/>
  <c r="Q13" i="82"/>
  <c r="P13" i="82"/>
  <c r="O13" i="82"/>
  <c r="N13" i="82"/>
  <c r="M5" i="82"/>
  <c r="M6" i="82"/>
  <c r="M7" i="82"/>
  <c r="M8" i="82"/>
  <c r="M9" i="82"/>
  <c r="M10" i="82"/>
  <c r="M11" i="82"/>
  <c r="M13" i="82"/>
  <c r="L13" i="82"/>
  <c r="I13" i="82"/>
  <c r="M12" i="82"/>
  <c r="AG10" i="82"/>
  <c r="AG9" i="82"/>
  <c r="AG8" i="82"/>
  <c r="AG7" i="82"/>
  <c r="AG6" i="82"/>
  <c r="AG5" i="82"/>
  <c r="K36" i="81"/>
  <c r="K31" i="81"/>
  <c r="K33" i="81"/>
  <c r="K30" i="81"/>
  <c r="K32" i="81"/>
  <c r="N16" i="81"/>
  <c r="O16" i="81"/>
  <c r="AF16" i="81"/>
  <c r="AG16" i="81"/>
  <c r="K10" i="81"/>
  <c r="AA24" i="81"/>
  <c r="K34" i="81"/>
  <c r="N5" i="81"/>
  <c r="O5" i="81"/>
  <c r="AF5" i="81"/>
  <c r="N6" i="81"/>
  <c r="O6" i="81"/>
  <c r="AF6" i="81"/>
  <c r="N7" i="81"/>
  <c r="O7" i="81"/>
  <c r="AF7" i="81"/>
  <c r="N8" i="81"/>
  <c r="O8" i="81"/>
  <c r="AF8" i="81"/>
  <c r="N9" i="81"/>
  <c r="O9" i="81"/>
  <c r="AF9" i="81"/>
  <c r="N10" i="81"/>
  <c r="O10" i="81"/>
  <c r="AF10" i="81"/>
  <c r="N11" i="81"/>
  <c r="O11" i="81"/>
  <c r="AF11" i="81"/>
  <c r="N12" i="81"/>
  <c r="O12" i="81"/>
  <c r="AF12" i="81"/>
  <c r="N13" i="81"/>
  <c r="O13" i="81"/>
  <c r="AF13" i="81"/>
  <c r="N14" i="81"/>
  <c r="O14" i="81"/>
  <c r="AF14" i="81"/>
  <c r="N15" i="81"/>
  <c r="O15" i="81"/>
  <c r="AF15" i="81"/>
  <c r="N17" i="81"/>
  <c r="O17" i="81"/>
  <c r="AF17" i="81"/>
  <c r="N18" i="81"/>
  <c r="O18" i="81"/>
  <c r="AF18" i="81"/>
  <c r="N19" i="81"/>
  <c r="O19" i="81"/>
  <c r="AF19" i="81"/>
  <c r="N20" i="81"/>
  <c r="O20" i="81"/>
  <c r="AF20" i="81"/>
  <c r="N21" i="81"/>
  <c r="O21" i="81"/>
  <c r="AF21" i="81"/>
  <c r="N22" i="81"/>
  <c r="O22" i="81"/>
  <c r="AF22" i="81"/>
  <c r="AF24" i="81"/>
  <c r="AF26" i="81"/>
  <c r="H24" i="81"/>
  <c r="J24" i="81"/>
  <c r="K24" i="81"/>
  <c r="K26" i="81"/>
  <c r="AG11" i="81"/>
  <c r="AG12" i="81"/>
  <c r="AG13" i="81"/>
  <c r="AG14" i="81"/>
  <c r="AG15" i="81"/>
  <c r="AG18" i="81"/>
  <c r="AG22" i="81"/>
  <c r="N23" i="81"/>
  <c r="O23" i="81"/>
  <c r="AF23" i="81"/>
  <c r="AG23" i="81"/>
  <c r="AG24" i="81"/>
  <c r="AE24" i="81"/>
  <c r="AD24" i="81"/>
  <c r="AC24" i="81"/>
  <c r="AB24" i="81"/>
  <c r="Z24" i="81"/>
  <c r="Y24" i="81"/>
  <c r="X24" i="81"/>
  <c r="W24" i="81"/>
  <c r="V24" i="81"/>
  <c r="U24" i="81"/>
  <c r="T24" i="81"/>
  <c r="S24" i="81"/>
  <c r="R24" i="81"/>
  <c r="Q24" i="81"/>
  <c r="P24" i="81"/>
  <c r="O24" i="81"/>
  <c r="N24" i="81"/>
  <c r="M5" i="81"/>
  <c r="M6" i="81"/>
  <c r="M7" i="81"/>
  <c r="M8" i="81"/>
  <c r="M9" i="81"/>
  <c r="M10" i="81"/>
  <c r="M11" i="81"/>
  <c r="M12" i="81"/>
  <c r="M13" i="81"/>
  <c r="M14" i="81"/>
  <c r="M15" i="81"/>
  <c r="M16" i="81"/>
  <c r="M17" i="81"/>
  <c r="M18" i="81"/>
  <c r="M19" i="81"/>
  <c r="M20" i="81"/>
  <c r="M21" i="81"/>
  <c r="M22" i="81"/>
  <c r="M24" i="81"/>
  <c r="L24" i="81"/>
  <c r="I24" i="81"/>
  <c r="M23" i="81"/>
  <c r="AG10" i="81"/>
  <c r="AG9" i="81"/>
  <c r="AG8" i="81"/>
  <c r="AG7" i="81"/>
  <c r="AG6" i="81"/>
  <c r="AG5" i="81"/>
  <c r="M12" i="80"/>
  <c r="N12" i="80"/>
  <c r="O12" i="80"/>
  <c r="AF12" i="80"/>
  <c r="AG12" i="80"/>
  <c r="K31" i="80"/>
  <c r="AD24" i="80"/>
  <c r="AC24" i="80"/>
  <c r="AA24" i="80"/>
  <c r="K33" i="80"/>
  <c r="R24" i="80"/>
  <c r="Q24" i="80"/>
  <c r="P24" i="80"/>
  <c r="K24" i="80"/>
  <c r="J24" i="80"/>
  <c r="H24" i="80"/>
  <c r="K5" i="80"/>
  <c r="O5" i="80"/>
  <c r="O6" i="80"/>
  <c r="N6" i="80"/>
  <c r="M6" i="80"/>
  <c r="K7" i="80"/>
  <c r="M7" i="80"/>
  <c r="N7" i="80"/>
  <c r="O7" i="80"/>
  <c r="AE24" i="80"/>
  <c r="AB24" i="80"/>
  <c r="Z24" i="80"/>
  <c r="Y24" i="80"/>
  <c r="X24" i="80"/>
  <c r="W24" i="80"/>
  <c r="V24" i="80"/>
  <c r="U24" i="80"/>
  <c r="T24" i="80"/>
  <c r="S24" i="80"/>
  <c r="L24" i="80"/>
  <c r="I24" i="80"/>
  <c r="O23" i="80"/>
  <c r="N23" i="80"/>
  <c r="M23" i="80"/>
  <c r="O22" i="80"/>
  <c r="N22" i="80"/>
  <c r="M22" i="80"/>
  <c r="O21" i="80"/>
  <c r="N21" i="80"/>
  <c r="M21" i="80"/>
  <c r="O20" i="80"/>
  <c r="N20" i="80"/>
  <c r="M20" i="80"/>
  <c r="O19" i="80"/>
  <c r="N19" i="80"/>
  <c r="M19" i="80"/>
  <c r="O18" i="80"/>
  <c r="N18" i="80"/>
  <c r="M18" i="80"/>
  <c r="O17" i="80"/>
  <c r="N17" i="80"/>
  <c r="M17" i="80"/>
  <c r="O16" i="80"/>
  <c r="N16" i="80"/>
  <c r="M16" i="80"/>
  <c r="O15" i="80"/>
  <c r="N15" i="80"/>
  <c r="M15" i="80"/>
  <c r="O14" i="80"/>
  <c r="N14" i="80"/>
  <c r="M14" i="80"/>
  <c r="O13" i="80"/>
  <c r="N13" i="80"/>
  <c r="M13" i="80"/>
  <c r="N11" i="80"/>
  <c r="O10" i="80"/>
  <c r="N10" i="80"/>
  <c r="M10" i="80"/>
  <c r="N9" i="80"/>
  <c r="O8" i="80"/>
  <c r="AF17" i="80"/>
  <c r="AF19" i="80"/>
  <c r="AF21" i="80"/>
  <c r="AF23" i="80"/>
  <c r="AG23" i="80"/>
  <c r="AF7" i="80"/>
  <c r="AG7" i="80"/>
  <c r="K26" i="80"/>
  <c r="AF15" i="80"/>
  <c r="AG15" i="80"/>
  <c r="AF6" i="80"/>
  <c r="AG6" i="80"/>
  <c r="N5" i="80"/>
  <c r="M5" i="80"/>
  <c r="AF13" i="80"/>
  <c r="AG13" i="80"/>
  <c r="AF10" i="80"/>
  <c r="AG10" i="80"/>
  <c r="AF14" i="80"/>
  <c r="AG14" i="80"/>
  <c r="AF16" i="80"/>
  <c r="AF18" i="80"/>
  <c r="AG18" i="80"/>
  <c r="AF20" i="80"/>
  <c r="AF22" i="80"/>
  <c r="AG22" i="80"/>
  <c r="O11" i="80"/>
  <c r="O24" i="80"/>
  <c r="M11" i="80"/>
  <c r="K34" i="80"/>
  <c r="N8" i="80"/>
  <c r="AF8" i="80"/>
  <c r="AG8" i="80"/>
  <c r="M8" i="80"/>
  <c r="M9" i="80"/>
  <c r="O9" i="80"/>
  <c r="AF9" i="80"/>
  <c r="AG9" i="80"/>
  <c r="K28" i="79"/>
  <c r="K31" i="79"/>
  <c r="O19" i="79"/>
  <c r="N19" i="79"/>
  <c r="AF19" i="79"/>
  <c r="M19" i="79"/>
  <c r="O18" i="79"/>
  <c r="N18" i="79"/>
  <c r="AF18" i="79"/>
  <c r="M18" i="79"/>
  <c r="O17" i="79"/>
  <c r="N17" i="79"/>
  <c r="AF17" i="79"/>
  <c r="M17" i="79"/>
  <c r="O15" i="79"/>
  <c r="N15" i="79"/>
  <c r="AF15" i="79"/>
  <c r="M15" i="79"/>
  <c r="O14" i="79"/>
  <c r="N14" i="79"/>
  <c r="M14" i="79"/>
  <c r="O13" i="79"/>
  <c r="N13" i="79"/>
  <c r="AF13" i="79"/>
  <c r="M13" i="79"/>
  <c r="K9" i="79"/>
  <c r="K22" i="79"/>
  <c r="K6" i="79"/>
  <c r="J7" i="79"/>
  <c r="K29" i="79"/>
  <c r="AE22" i="79"/>
  <c r="AD22" i="79"/>
  <c r="AC22" i="79"/>
  <c r="AB22" i="79"/>
  <c r="AA22" i="79"/>
  <c r="Z22" i="79"/>
  <c r="Y22" i="79"/>
  <c r="X22" i="79"/>
  <c r="W22" i="79"/>
  <c r="V22" i="79"/>
  <c r="T22" i="79"/>
  <c r="S22" i="79"/>
  <c r="R22" i="79"/>
  <c r="Q22" i="79"/>
  <c r="P22" i="79"/>
  <c r="L22" i="79"/>
  <c r="J22" i="79"/>
  <c r="I22" i="79"/>
  <c r="H22" i="79"/>
  <c r="U22" i="79"/>
  <c r="O21" i="79"/>
  <c r="AF21" i="79"/>
  <c r="AG21" i="79"/>
  <c r="N21" i="79"/>
  <c r="M21" i="79"/>
  <c r="O20" i="79"/>
  <c r="N20" i="79"/>
  <c r="AF20" i="79"/>
  <c r="AG20" i="79"/>
  <c r="M20" i="79"/>
  <c r="O16" i="79"/>
  <c r="N16" i="79"/>
  <c r="M16" i="79"/>
  <c r="O11" i="79"/>
  <c r="N11" i="79"/>
  <c r="M11" i="79"/>
  <c r="O10" i="79"/>
  <c r="N10" i="79"/>
  <c r="AF10" i="79"/>
  <c r="AG10" i="79"/>
  <c r="M10" i="79"/>
  <c r="O9" i="79"/>
  <c r="N9" i="79"/>
  <c r="M9" i="79"/>
  <c r="O8" i="79"/>
  <c r="N8" i="79"/>
  <c r="M8" i="79"/>
  <c r="O7" i="79"/>
  <c r="N7" i="79"/>
  <c r="M7" i="79"/>
  <c r="O6" i="79"/>
  <c r="N6" i="79"/>
  <c r="AF6" i="79"/>
  <c r="AG6" i="79"/>
  <c r="M6" i="79"/>
  <c r="O5" i="79"/>
  <c r="N5" i="79"/>
  <c r="M5" i="79"/>
  <c r="AF11" i="80"/>
  <c r="AG11" i="80"/>
  <c r="M24" i="80"/>
  <c r="AF5" i="80"/>
  <c r="N24" i="80"/>
  <c r="AG24" i="80"/>
  <c r="AF14" i="79"/>
  <c r="AF8" i="79"/>
  <c r="AG8" i="79"/>
  <c r="K24" i="79"/>
  <c r="AF7" i="79"/>
  <c r="AG7" i="79"/>
  <c r="AF9" i="79"/>
  <c r="AG9" i="79"/>
  <c r="AF11" i="79"/>
  <c r="AG11" i="79"/>
  <c r="AF16" i="79"/>
  <c r="AG16" i="79"/>
  <c r="AF5" i="79"/>
  <c r="N12" i="79"/>
  <c r="K32" i="79"/>
  <c r="K34" i="79"/>
  <c r="M12" i="79"/>
  <c r="M22" i="79"/>
  <c r="O12" i="79"/>
  <c r="O22" i="79"/>
  <c r="K24" i="78"/>
  <c r="K25" i="78"/>
  <c r="K23" i="78"/>
  <c r="K22" i="78"/>
  <c r="AF12" i="78"/>
  <c r="AG12" i="78"/>
  <c r="AF11" i="78"/>
  <c r="AG11" i="78"/>
  <c r="O13" i="78"/>
  <c r="N13" i="78"/>
  <c r="M13" i="78"/>
  <c r="O12" i="78"/>
  <c r="N12" i="78"/>
  <c r="M12" i="78"/>
  <c r="O11" i="78"/>
  <c r="N11" i="78"/>
  <c r="M11" i="78"/>
  <c r="K12" i="78"/>
  <c r="AE16" i="78"/>
  <c r="AD16" i="78"/>
  <c r="AC16" i="78"/>
  <c r="AB16" i="78"/>
  <c r="AA16" i="78"/>
  <c r="Z16" i="78"/>
  <c r="Y16" i="78"/>
  <c r="X16" i="78"/>
  <c r="W16" i="78"/>
  <c r="V16" i="78"/>
  <c r="T16" i="78"/>
  <c r="S16" i="78"/>
  <c r="R16" i="78"/>
  <c r="Q16" i="78"/>
  <c r="P16" i="78"/>
  <c r="L16" i="78"/>
  <c r="J16" i="78"/>
  <c r="I16" i="78"/>
  <c r="H16" i="78"/>
  <c r="U15" i="78"/>
  <c r="U16" i="78"/>
  <c r="O15" i="78"/>
  <c r="AF15" i="78"/>
  <c r="AG15" i="78"/>
  <c r="N15" i="78"/>
  <c r="M15" i="78"/>
  <c r="O14" i="78"/>
  <c r="N14" i="78"/>
  <c r="AF14" i="78"/>
  <c r="AG14" i="78"/>
  <c r="M14" i="78"/>
  <c r="K16" i="78"/>
  <c r="O9" i="78"/>
  <c r="N9" i="78"/>
  <c r="M9" i="78"/>
  <c r="O8" i="78"/>
  <c r="N8" i="78"/>
  <c r="M8" i="78"/>
  <c r="O7" i="78"/>
  <c r="N7" i="78"/>
  <c r="M7" i="78"/>
  <c r="O6" i="78"/>
  <c r="N6" i="78"/>
  <c r="AF6" i="78"/>
  <c r="AG6" i="78"/>
  <c r="M6" i="78"/>
  <c r="O5" i="78"/>
  <c r="N5" i="78"/>
  <c r="M5" i="78"/>
  <c r="AG5" i="80"/>
  <c r="AF24" i="80"/>
  <c r="AF26" i="80"/>
  <c r="AF12" i="79"/>
  <c r="AG12" i="79"/>
  <c r="AG22" i="79"/>
  <c r="AG5" i="79"/>
  <c r="AF22" i="79"/>
  <c r="AF24" i="79"/>
  <c r="N22" i="79"/>
  <c r="AF8" i="78"/>
  <c r="AG8" i="78"/>
  <c r="K18" i="78"/>
  <c r="AF7" i="78"/>
  <c r="AG7" i="78"/>
  <c r="AF9" i="78"/>
  <c r="AG9" i="78"/>
  <c r="AF13" i="78"/>
  <c r="AG13" i="78"/>
  <c r="AF5" i="78"/>
  <c r="N10" i="78"/>
  <c r="K26" i="78"/>
  <c r="K28" i="78"/>
  <c r="M10" i="78"/>
  <c r="M16" i="78"/>
  <c r="O10" i="78"/>
  <c r="O16" i="78"/>
  <c r="K24" i="77"/>
  <c r="K23" i="77"/>
  <c r="K22" i="77"/>
  <c r="K20" i="77"/>
  <c r="K16" i="77"/>
  <c r="AA14" i="77"/>
  <c r="U14" i="77"/>
  <c r="U13" i="77"/>
  <c r="T14" i="77"/>
  <c r="S14" i="77"/>
  <c r="R14" i="77"/>
  <c r="Q14" i="77"/>
  <c r="P14" i="77"/>
  <c r="N14" i="77"/>
  <c r="M14" i="77"/>
  <c r="K14" i="77"/>
  <c r="H14" i="77"/>
  <c r="J14" i="77"/>
  <c r="O8" i="77"/>
  <c r="N8" i="77"/>
  <c r="M8" i="77"/>
  <c r="O7" i="77"/>
  <c r="N7" i="77"/>
  <c r="M7" i="77"/>
  <c r="O6" i="77"/>
  <c r="N6" i="77"/>
  <c r="AF6" i="77"/>
  <c r="AG6" i="77"/>
  <c r="M6" i="77"/>
  <c r="O5" i="77"/>
  <c r="N5" i="77"/>
  <c r="M5" i="77"/>
  <c r="AF10" i="78"/>
  <c r="AG10" i="78"/>
  <c r="AG16" i="78"/>
  <c r="AG5" i="78"/>
  <c r="AF16" i="78"/>
  <c r="AF18" i="78"/>
  <c r="N16" i="78"/>
  <c r="AF5" i="77"/>
  <c r="AG5" i="77"/>
  <c r="AF7" i="77"/>
  <c r="AG7" i="77"/>
  <c r="AF8" i="77"/>
  <c r="AG8" i="77"/>
  <c r="K10" i="77"/>
  <c r="AE14" i="77"/>
  <c r="AD14" i="77"/>
  <c r="AC14" i="77"/>
  <c r="AB14" i="77"/>
  <c r="Z14" i="77"/>
  <c r="Y14" i="77"/>
  <c r="X14" i="77"/>
  <c r="W14" i="77"/>
  <c r="V14" i="77"/>
  <c r="L14" i="77"/>
  <c r="I14" i="77"/>
  <c r="O13" i="77"/>
  <c r="N13" i="77"/>
  <c r="M13" i="77"/>
  <c r="O12" i="77"/>
  <c r="N12" i="77"/>
  <c r="M12" i="77"/>
  <c r="O11" i="77"/>
  <c r="N11" i="77"/>
  <c r="M11" i="77"/>
  <c r="O10" i="77"/>
  <c r="N10" i="77"/>
  <c r="M10" i="77"/>
  <c r="O9" i="77"/>
  <c r="N9" i="77"/>
  <c r="M9" i="77"/>
  <c r="AF11" i="77"/>
  <c r="AG11" i="77"/>
  <c r="AF13" i="77"/>
  <c r="AF12" i="77"/>
  <c r="AG12" i="77"/>
  <c r="AF10" i="77"/>
  <c r="AG10" i="77"/>
  <c r="AF9" i="77"/>
  <c r="O14" i="77"/>
  <c r="K28" i="75"/>
  <c r="AD23" i="75"/>
  <c r="AC23" i="75"/>
  <c r="AB23" i="75"/>
  <c r="AA23" i="75"/>
  <c r="Z23" i="75"/>
  <c r="Y23" i="75"/>
  <c r="X23" i="75"/>
  <c r="W23" i="75"/>
  <c r="V23" i="75"/>
  <c r="U23" i="75"/>
  <c r="T23" i="75"/>
  <c r="S23" i="75"/>
  <c r="R23" i="75"/>
  <c r="Q23" i="75"/>
  <c r="P23" i="75"/>
  <c r="L23" i="75"/>
  <c r="J23" i="75"/>
  <c r="I23" i="75"/>
  <c r="H23" i="75"/>
  <c r="O22" i="75"/>
  <c r="N22" i="75"/>
  <c r="M22" i="75"/>
  <c r="O21" i="75"/>
  <c r="N21" i="75"/>
  <c r="M21" i="75"/>
  <c r="O20" i="75"/>
  <c r="N20" i="75"/>
  <c r="M20" i="75"/>
  <c r="K23" i="75"/>
  <c r="O18" i="75"/>
  <c r="N18" i="75"/>
  <c r="M18" i="75"/>
  <c r="O17" i="75"/>
  <c r="N17" i="75"/>
  <c r="M17" i="75"/>
  <c r="O16" i="75"/>
  <c r="N16" i="75"/>
  <c r="M16" i="75"/>
  <c r="O15" i="75"/>
  <c r="N15" i="75"/>
  <c r="M15" i="75"/>
  <c r="O14" i="75"/>
  <c r="N14" i="75"/>
  <c r="M14" i="75"/>
  <c r="O13" i="75"/>
  <c r="N13" i="75"/>
  <c r="M13" i="75"/>
  <c r="O12" i="75"/>
  <c r="N12" i="75"/>
  <c r="M12" i="75"/>
  <c r="O11" i="75"/>
  <c r="N11" i="75"/>
  <c r="M11" i="75"/>
  <c r="O10" i="75"/>
  <c r="N10" i="75"/>
  <c r="M10" i="75"/>
  <c r="O9" i="75"/>
  <c r="N9" i="75"/>
  <c r="M9" i="75"/>
  <c r="O8" i="75"/>
  <c r="N8" i="75"/>
  <c r="M8" i="75"/>
  <c r="O7" i="75"/>
  <c r="N7" i="75"/>
  <c r="M7" i="75"/>
  <c r="O6" i="75"/>
  <c r="N6" i="75"/>
  <c r="M6" i="75"/>
  <c r="O5" i="75"/>
  <c r="N5" i="75"/>
  <c r="M5" i="75"/>
  <c r="AG13" i="77"/>
  <c r="AF14" i="77"/>
  <c r="AG9" i="77"/>
  <c r="AE12" i="75"/>
  <c r="AF12" i="75"/>
  <c r="AE18" i="75"/>
  <c r="AF18" i="75"/>
  <c r="AE22" i="75"/>
  <c r="AF22" i="75"/>
  <c r="AE20" i="75"/>
  <c r="AF20" i="75"/>
  <c r="AE16" i="75"/>
  <c r="AF16" i="75"/>
  <c r="AE14" i="75"/>
  <c r="AF14" i="75"/>
  <c r="AE10" i="75"/>
  <c r="AF10" i="75"/>
  <c r="AE8" i="75"/>
  <c r="AF8" i="75"/>
  <c r="AE5" i="75"/>
  <c r="AF5" i="75"/>
  <c r="AE7" i="75"/>
  <c r="AF7" i="75"/>
  <c r="AE9" i="75"/>
  <c r="AF9" i="75"/>
  <c r="AE11" i="75"/>
  <c r="AF11" i="75"/>
  <c r="AE13" i="75"/>
  <c r="AF13" i="75"/>
  <c r="AE15" i="75"/>
  <c r="AF15" i="75"/>
  <c r="AE17" i="75"/>
  <c r="AF17" i="75"/>
  <c r="AE21" i="75"/>
  <c r="AF21" i="75"/>
  <c r="K25" i="75"/>
  <c r="AE6" i="75"/>
  <c r="AF6" i="75"/>
  <c r="N19" i="75"/>
  <c r="K31" i="75"/>
  <c r="M19" i="75"/>
  <c r="M23" i="75"/>
  <c r="O19" i="75"/>
  <c r="O23" i="75"/>
  <c r="K31" i="74"/>
  <c r="AF19" i="74"/>
  <c r="AG19" i="74"/>
  <c r="O19" i="74"/>
  <c r="N19" i="74"/>
  <c r="M19" i="74"/>
  <c r="O18" i="74"/>
  <c r="AF18" i="74"/>
  <c r="AG18" i="74"/>
  <c r="N18" i="74"/>
  <c r="M18" i="74"/>
  <c r="O17" i="74"/>
  <c r="N17" i="74"/>
  <c r="AF17" i="74"/>
  <c r="AG17" i="74"/>
  <c r="M17" i="74"/>
  <c r="AF16" i="77"/>
  <c r="AG14" i="77"/>
  <c r="AE19" i="75"/>
  <c r="AF19" i="75"/>
  <c r="AF23" i="75"/>
  <c r="N23" i="75"/>
  <c r="Q28" i="74"/>
  <c r="Q29" i="74"/>
  <c r="K14" i="74"/>
  <c r="K28" i="74"/>
  <c r="O16" i="74"/>
  <c r="N16" i="74"/>
  <c r="M16" i="74"/>
  <c r="O15" i="74"/>
  <c r="N15" i="74"/>
  <c r="M15" i="74"/>
  <c r="N14" i="74"/>
  <c r="K12" i="74"/>
  <c r="N12" i="74"/>
  <c r="O10" i="74"/>
  <c r="N10" i="74"/>
  <c r="M10" i="74"/>
  <c r="O9" i="74"/>
  <c r="N9" i="74"/>
  <c r="M9" i="74"/>
  <c r="O8" i="74"/>
  <c r="N8" i="74"/>
  <c r="M8" i="74"/>
  <c r="O7" i="74"/>
  <c r="N7" i="74"/>
  <c r="M7" i="74"/>
  <c r="O13" i="74"/>
  <c r="N13" i="74"/>
  <c r="M13" i="74"/>
  <c r="M12" i="74"/>
  <c r="O11" i="74"/>
  <c r="N11" i="74"/>
  <c r="M11" i="74"/>
  <c r="O6" i="74"/>
  <c r="N6" i="74"/>
  <c r="M6" i="74"/>
  <c r="O5" i="74"/>
  <c r="N5" i="74"/>
  <c r="M5" i="74"/>
  <c r="AE23" i="75"/>
  <c r="AE25" i="75"/>
  <c r="M14" i="74"/>
  <c r="O14" i="74"/>
  <c r="K29" i="74"/>
  <c r="AF16" i="74"/>
  <c r="AG16" i="74"/>
  <c r="AF15" i="74"/>
  <c r="AG15" i="74"/>
  <c r="AF14" i="74"/>
  <c r="AG14" i="74"/>
  <c r="AF9" i="74"/>
  <c r="AG9" i="74"/>
  <c r="O12" i="74"/>
  <c r="AF7" i="74"/>
  <c r="AG7" i="74"/>
  <c r="AF6" i="74"/>
  <c r="AG6" i="74"/>
  <c r="AF11" i="74"/>
  <c r="AG11" i="74"/>
  <c r="AF13" i="74"/>
  <c r="AG13" i="74"/>
  <c r="AF8" i="74"/>
  <c r="AG8" i="74"/>
  <c r="AF10" i="74"/>
  <c r="AG10" i="74"/>
  <c r="AF5" i="74"/>
  <c r="AG5" i="74"/>
  <c r="AF12" i="74"/>
  <c r="AG12" i="74"/>
  <c r="K32" i="74"/>
  <c r="N20" i="74"/>
  <c r="O20" i="74"/>
  <c r="N21" i="74"/>
  <c r="O21" i="74"/>
  <c r="H22" i="74"/>
  <c r="I22" i="74"/>
  <c r="J22" i="74"/>
  <c r="K22" i="74"/>
  <c r="AE22" i="74"/>
  <c r="AD22" i="74"/>
  <c r="AC22" i="74"/>
  <c r="AB22" i="74"/>
  <c r="AA22" i="74"/>
  <c r="Z22" i="74"/>
  <c r="Y22" i="74"/>
  <c r="X22" i="74"/>
  <c r="W22" i="74"/>
  <c r="V22" i="74"/>
  <c r="U22" i="74"/>
  <c r="T22" i="74"/>
  <c r="S22" i="74"/>
  <c r="R22" i="74"/>
  <c r="Q22" i="74"/>
  <c r="P22" i="74"/>
  <c r="M20" i="74"/>
  <c r="M21" i="74"/>
  <c r="L22" i="74"/>
  <c r="AF21" i="74"/>
  <c r="AG21" i="74"/>
  <c r="K24" i="74"/>
  <c r="M22" i="74"/>
  <c r="N22" i="74"/>
  <c r="O22" i="74"/>
  <c r="AF20" i="74"/>
  <c r="AG20" i="74"/>
  <c r="AG22" i="74"/>
  <c r="AF22" i="74"/>
  <c r="AF24" i="74"/>
</calcChain>
</file>

<file path=xl/sharedStrings.xml><?xml version="1.0" encoding="utf-8"?>
<sst xmlns="http://schemas.openxmlformats.org/spreadsheetml/2006/main" count="653" uniqueCount="210">
  <si>
    <t>Petty Cash</t>
  </si>
  <si>
    <t>MISC</t>
  </si>
  <si>
    <t>EMP MEAL</t>
  </si>
  <si>
    <t>MARKETING</t>
  </si>
  <si>
    <t>SALARIES AND WAGES</t>
  </si>
  <si>
    <t>TRANSPO</t>
  </si>
  <si>
    <t>REPAIRS AND MAINTENANCE</t>
  </si>
  <si>
    <t>OFFICE SUPPLIES</t>
  </si>
  <si>
    <t>RAW MATS BEVERAGES</t>
  </si>
  <si>
    <t>RAW MATS FOOD</t>
  </si>
  <si>
    <t>EWT</t>
  </si>
  <si>
    <t>Input VAT</t>
  </si>
  <si>
    <t>Net of VAT</t>
  </si>
  <si>
    <t>EWT Rate</t>
  </si>
  <si>
    <t>VAT 12%</t>
  </si>
  <si>
    <t>VAT Exempt</t>
  </si>
  <si>
    <t>VAT Zero-Rated</t>
  </si>
  <si>
    <t>Invalid</t>
  </si>
  <si>
    <t>Particulars</t>
  </si>
  <si>
    <t>Invoice Number</t>
  </si>
  <si>
    <t>TIN</t>
  </si>
  <si>
    <t>Payee</t>
  </si>
  <si>
    <t>PCV Number</t>
  </si>
  <si>
    <t>Date</t>
  </si>
  <si>
    <t>6102-3</t>
  </si>
  <si>
    <t>6223-2</t>
  </si>
  <si>
    <t xml:space="preserve">Petty Cash </t>
  </si>
  <si>
    <t>Address</t>
  </si>
  <si>
    <t>GUEST SUPPLIES</t>
  </si>
  <si>
    <t>PHOTOCOPY</t>
  </si>
  <si>
    <t>CO. NAME: TOSHCO INC</t>
  </si>
  <si>
    <t>PACKAGING</t>
  </si>
  <si>
    <t>DECORS</t>
  </si>
  <si>
    <t>MEDICAL SUPPLIES</t>
  </si>
  <si>
    <t>WARES AND UTENSILS</t>
  </si>
  <si>
    <t>Tube Ice</t>
  </si>
  <si>
    <t>Rustans Supercenters Inc</t>
  </si>
  <si>
    <t>Mejora Ferro Corp. (Ministop)</t>
  </si>
  <si>
    <t>The Landmark Corporation</t>
  </si>
  <si>
    <t>000-148-285-000</t>
  </si>
  <si>
    <t>Ayala, Makati City</t>
  </si>
  <si>
    <t>Prepared by: Joyce Dino</t>
  </si>
  <si>
    <t>COH</t>
  </si>
  <si>
    <t>Angelo Sanchez</t>
  </si>
  <si>
    <t>Assorted groceries</t>
  </si>
  <si>
    <t>PMKS Marketing</t>
  </si>
  <si>
    <t>Brown table napkin</t>
  </si>
  <si>
    <t>Eric Labadan</t>
  </si>
  <si>
    <t>Food</t>
  </si>
  <si>
    <t>Packaging</t>
  </si>
  <si>
    <t>Transpo</t>
  </si>
  <si>
    <t>Total</t>
  </si>
  <si>
    <t>CLEANING</t>
  </si>
  <si>
    <t>Non Food</t>
  </si>
  <si>
    <t>Tube ice</t>
  </si>
  <si>
    <t>Lettuce</t>
  </si>
  <si>
    <t>Belong Enterprises</t>
  </si>
  <si>
    <t>Pork Ribs</t>
  </si>
  <si>
    <t>AAB Baking Goods &amp; Supplies Inc</t>
  </si>
  <si>
    <t>For the Month Ended:  Sept 28-Oct 5 (Funds c/o Sept 25 Sales)</t>
  </si>
  <si>
    <t>Transpo purchased Kitchen stocks in Marikina</t>
  </si>
  <si>
    <t>Judith Maet Products</t>
  </si>
  <si>
    <t>French Fries</t>
  </si>
  <si>
    <t>Evarlies Meatshop</t>
  </si>
  <si>
    <t>Almas Cold Cuts Store</t>
  </si>
  <si>
    <t>Bacon Bits</t>
  </si>
  <si>
    <t>Hershey's Cocoa Powder</t>
  </si>
  <si>
    <t>Joy Dishwashing Liquid,Sponge</t>
  </si>
  <si>
    <t>Pineapple Tidbits</t>
  </si>
  <si>
    <t>Brown Sugar Sachet,Refind White Sugar,Baguette Bread</t>
  </si>
  <si>
    <t>Breadcrumbs,Sunquick Orange,APC,Butter,Corn Oil,Black Olives</t>
  </si>
  <si>
    <t>Basil, Lettuce,Potato</t>
  </si>
  <si>
    <t>Taxi Fare from Landmark to Valero purchased assorted groceries</t>
  </si>
  <si>
    <t>2 weeks budget</t>
  </si>
  <si>
    <t>Budget per week</t>
  </si>
  <si>
    <t>SM Hypermarket</t>
  </si>
  <si>
    <t>Pepsi,Mug, Pepsi Max</t>
  </si>
  <si>
    <t>Mozzarella</t>
  </si>
  <si>
    <t>Gkenn Biarcal</t>
  </si>
  <si>
    <t>Transpo purchased Mozza &amp; Pepsi</t>
  </si>
  <si>
    <t>PCF Cash Breakdown borrowed from ff:</t>
  </si>
  <si>
    <t>11,500 c/o Sept 25 cash sales</t>
  </si>
  <si>
    <t>PCV</t>
  </si>
  <si>
    <t>2,000 c/o ACU Cleaning</t>
  </si>
  <si>
    <t>20,000 Total Cash Borrowed</t>
  </si>
  <si>
    <t>6,500 c/o Oct 1cash  sales</t>
  </si>
  <si>
    <t>For the Month Ended:  October 5-10, 2020</t>
  </si>
  <si>
    <t>Polar Queen Waterways, Inc.</t>
  </si>
  <si>
    <t>007-019-796-000</t>
  </si>
  <si>
    <t>Santiago St. Zone056, Brgy 580, Sampaloc Manila</t>
  </si>
  <si>
    <t>Tube Ice, half sack</t>
  </si>
  <si>
    <t>Office Warehouse, Inc.</t>
  </si>
  <si>
    <t>200-492-482-000</t>
  </si>
  <si>
    <t>Paseo de Roxas, Makati City</t>
  </si>
  <si>
    <t>PCV, celo tape, bond paper &amp; pen</t>
  </si>
  <si>
    <t>Rustans Supercenters, Inc.</t>
  </si>
  <si>
    <t>201-160-401-050</t>
  </si>
  <si>
    <t>French baguette bread</t>
  </si>
  <si>
    <t>Golden crown butter</t>
  </si>
  <si>
    <t>Mint leaves</t>
  </si>
  <si>
    <t>Taxifare from landmak to valero</t>
  </si>
  <si>
    <t>235-048-461-000</t>
  </si>
  <si>
    <t xml:space="preserve">195 J.P. Rizal St. San Roque </t>
  </si>
  <si>
    <t>Hungarian sausage</t>
  </si>
  <si>
    <t>Nestle cream</t>
  </si>
  <si>
    <t>Potato</t>
  </si>
  <si>
    <t>Ideal Spaghetti</t>
  </si>
  <si>
    <t>008-196-741-001</t>
  </si>
  <si>
    <t>41C Congressional Ave. Q.C.</t>
  </si>
  <si>
    <t>Assorted flour, cream cheese &amp; butter</t>
  </si>
  <si>
    <t>Transpo going to Markina &amp; Congressional Q.C.</t>
  </si>
  <si>
    <t>Universal Finest Product Distribution Inc.</t>
  </si>
  <si>
    <t>009-804-586-000</t>
  </si>
  <si>
    <t>29A Sandova Ave. Isla Homes 1,Brgy. Pinagbuhatan, Pasig City</t>
  </si>
  <si>
    <t>Beef short plate (6.97kilos)</t>
  </si>
  <si>
    <t>477-673-004</t>
  </si>
  <si>
    <t>Valero Carpark, Valero Makati</t>
  </si>
  <si>
    <t>500 c/o ACU Cleaning</t>
  </si>
  <si>
    <t>102.21 c/o PCF Sep. 28-Oct. 2</t>
  </si>
  <si>
    <t>Over</t>
  </si>
  <si>
    <t>For the Month Ended:  Oct 12-17,2020 (10k Budget)</t>
  </si>
  <si>
    <t>Prepared by: Marie Sosa</t>
  </si>
  <si>
    <t>61.1 kilos of Whole Chicken</t>
  </si>
  <si>
    <t>Broas,APC,Cream Cheese,Fresh Milk, Corn Oil,Molinera,Spaghetti,Breadcrumbs,Macaroni,Penne Pasta etc.</t>
  </si>
  <si>
    <t>Basil</t>
  </si>
  <si>
    <t>Rice</t>
  </si>
  <si>
    <t>Transpo purchased packaging materials</t>
  </si>
  <si>
    <t>Shah Bonn Jadd</t>
  </si>
  <si>
    <t>Pizza Box,Soup Bowl,S-750,Cup w/ Lid</t>
  </si>
  <si>
    <t>Note: Hi Sir, here po yun liquidation ng PCF na 10K</t>
  </si>
  <si>
    <t>For the Month Ended:  Oct 14,2020 (5k Budget)</t>
  </si>
  <si>
    <t>Guadalupe Public Market</t>
  </si>
  <si>
    <t>25 kilos Rice</t>
  </si>
  <si>
    <t>Glenn Biarcal</t>
  </si>
  <si>
    <t>Transpo purchased Rice</t>
  </si>
  <si>
    <t>Office Warehouse Inc</t>
  </si>
  <si>
    <t>POS Ribbon</t>
  </si>
  <si>
    <t>S-750 Canester,Spoon &amp; Fork</t>
  </si>
  <si>
    <t>Grab Delivery</t>
  </si>
  <si>
    <t xml:space="preserve">PCF Check Delivery Charge </t>
  </si>
  <si>
    <t>Mayo,Bread Flour,AP Flour,Butter,APC</t>
  </si>
  <si>
    <t>White Onion,Sili Sigang</t>
  </si>
  <si>
    <t>Cooks Exchange Inc</t>
  </si>
  <si>
    <t>Glassine Paper</t>
  </si>
  <si>
    <t>Budget</t>
  </si>
  <si>
    <t>Ripe mango</t>
  </si>
  <si>
    <t>Local bread crumbs &amp; baguette bread</t>
  </si>
  <si>
    <t>Native tomato</t>
  </si>
  <si>
    <t>Green ice lettuce &amp; corn</t>
  </si>
  <si>
    <t>Milk, oil, capri tomato,spaghetti &amp; sodas</t>
  </si>
  <si>
    <t>Ruel Hayagan</t>
  </si>
  <si>
    <t>Taxifare from landmark to valero</t>
  </si>
  <si>
    <t>Grab Express Delivery</t>
  </si>
  <si>
    <t>Check delivery fee</t>
  </si>
  <si>
    <t>Robinson's Supermarket Corp.</t>
  </si>
  <si>
    <t>Tube ice, half sack</t>
  </si>
  <si>
    <t>Hungarian sausage &amp; bacon bits</t>
  </si>
  <si>
    <t>Judith Meat Products</t>
  </si>
  <si>
    <t>KFC fries &amp; pepperoni</t>
  </si>
  <si>
    <t>Transpo from marikina to valero</t>
  </si>
  <si>
    <t>For the Month Ended:  Oct 20-24 ( Budget)</t>
  </si>
  <si>
    <t>Bakeright General Merchandise</t>
  </si>
  <si>
    <t xml:space="preserve">Swiss valley cream cheese &amp; Beryls chocolate </t>
  </si>
  <si>
    <t>KITCHEN SUPPLIES</t>
  </si>
  <si>
    <t>Chuan Hong Trading</t>
  </si>
  <si>
    <t>Party pans &amp; canister</t>
  </si>
  <si>
    <t>Divisoria Wet Market</t>
  </si>
  <si>
    <t>Pot holder, 1 dozen</t>
  </si>
  <si>
    <t>ED Ramos Enterprises</t>
  </si>
  <si>
    <t>Plastic labo &amp; plastic sauce bowl</t>
  </si>
  <si>
    <t>Smart E-load for pocket wifi</t>
  </si>
  <si>
    <t>Transpo going to divisoria</t>
  </si>
  <si>
    <t>Fuji apple &amp; loaf bread</t>
  </si>
  <si>
    <t>Table Napkin</t>
  </si>
  <si>
    <t>DINING SUPPLIES</t>
  </si>
  <si>
    <t>Disposable gloves</t>
  </si>
  <si>
    <t>SML, Super Dry &amp; asstd sodas</t>
  </si>
  <si>
    <t>Joyce Dino</t>
  </si>
  <si>
    <t>For the Month Ended:  Oct 24-29 ( 10K Budget)</t>
  </si>
  <si>
    <t>Spoon &amp; Fork, Canester</t>
  </si>
  <si>
    <t>Fresh Milk,Pasta,Pepsi,Olive Oil,APC,Butter</t>
  </si>
  <si>
    <t>Transpo purchased kitchen stocks</t>
  </si>
  <si>
    <t>Loaf Bread,Baguette Bread,Apple</t>
  </si>
  <si>
    <t>Jazz Supermarket</t>
  </si>
  <si>
    <t>5 kilo Rice</t>
  </si>
  <si>
    <t>2 bottle SML</t>
  </si>
  <si>
    <t>Spaghetti Pasta,Oreo Vanilla</t>
  </si>
  <si>
    <t>Gelatin,Butter,Spaghetti Pasta</t>
  </si>
  <si>
    <t>Office Warehouse</t>
  </si>
  <si>
    <t>POS Journal Tape, Scotch Tape,Marker</t>
  </si>
  <si>
    <t>Baguette Bread, Brown Sugar Sachet</t>
  </si>
  <si>
    <t>25 kilo Rice</t>
  </si>
  <si>
    <t>Pocket Wifi load</t>
  </si>
  <si>
    <t>White Sugar,Fresh Milk,Baguette Bread,APC</t>
  </si>
  <si>
    <t>Polar Queen Waterwaste Inc</t>
  </si>
  <si>
    <t>Half Sack Tube Ice</t>
  </si>
  <si>
    <t>For the Month Ended:  Oct 29-30 ( 1,600  Budget)</t>
  </si>
  <si>
    <t>Mustard,Garlic Powder,All Purpose Flour</t>
  </si>
  <si>
    <t>Shahh Bonn Jadd</t>
  </si>
  <si>
    <t>S-750, Plastic labo</t>
  </si>
  <si>
    <t>Belong Enterprise</t>
  </si>
  <si>
    <t>AAA Battery</t>
  </si>
  <si>
    <t>Butane Gas</t>
  </si>
  <si>
    <t>Butter,Baguette Bread, Palm Oil</t>
  </si>
  <si>
    <t>For the Month Ended:  Oct 29-30 (2,000  Budget)</t>
  </si>
  <si>
    <t>Newtech Pest Control Services</t>
  </si>
  <si>
    <t>Pest Control Service</t>
  </si>
  <si>
    <t>Transpo Allowance</t>
  </si>
  <si>
    <t>Marie Sosa</t>
  </si>
  <si>
    <t>Transpo going to Makati City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</si>
</sst>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\-mmm;@"/>
    <numFmt numFmtId="165" formatCode="[$-409]d\-mmm\-yy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0">
    <xf numFmtId="0" fontId="0" fillId="0" borderId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9" fontId="1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15" applyFont="1" applyFill="1"/>
    <xf numFmtId="43" fontId="2" fillId="0" borderId="0" xfId="2" applyFont="1" applyFill="1"/>
    <xf numFmtId="9" fontId="2" fillId="0" borderId="0" xfId="29" applyFont="1" applyFill="1" applyAlignment="1">
      <alignment horizontal="center"/>
    </xf>
    <xf numFmtId="0" fontId="2" fillId="0" borderId="0" xfId="15" applyFont="1" applyFill="1" applyAlignment="1">
      <alignment horizontal="center"/>
    </xf>
    <xf numFmtId="0" fontId="2" fillId="0" borderId="0" xfId="15" applyFont="1" applyFill="1" applyAlignment="1">
      <alignment horizontal="left"/>
    </xf>
    <xf numFmtId="0" fontId="2" fillId="0" borderId="0" xfId="15" applyNumberFormat="1" applyFont="1" applyFill="1" applyAlignment="1">
      <alignment horizontal="center"/>
    </xf>
    <xf numFmtId="43" fontId="2" fillId="0" borderId="0" xfId="2" applyFont="1" applyFill="1" applyBorder="1"/>
    <xf numFmtId="9" fontId="2" fillId="0" borderId="0" xfId="29" applyFont="1" applyFill="1" applyBorder="1" applyAlignment="1">
      <alignment horizontal="center"/>
    </xf>
    <xf numFmtId="0" fontId="3" fillId="0" borderId="0" xfId="15" applyFont="1" applyFill="1"/>
    <xf numFmtId="0" fontId="2" fillId="0" borderId="0" xfId="15" applyFont="1" applyFill="1" applyAlignment="1">
      <alignment vertical="center" wrapText="1"/>
    </xf>
    <xf numFmtId="0" fontId="2" fillId="2" borderId="0" xfId="15" applyFont="1" applyFill="1"/>
    <xf numFmtId="164" fontId="3" fillId="0" borderId="0" xfId="15" applyNumberFormat="1" applyFont="1" applyFill="1" applyAlignment="1">
      <alignment horizontal="left"/>
    </xf>
    <xf numFmtId="0" fontId="3" fillId="0" borderId="0" xfId="15" applyNumberFormat="1" applyFont="1" applyFill="1" applyAlignment="1">
      <alignment horizontal="left"/>
    </xf>
    <xf numFmtId="49" fontId="3" fillId="0" borderId="0" xfId="15" applyNumberFormat="1" applyFont="1" applyFill="1"/>
    <xf numFmtId="0" fontId="7" fillId="0" borderId="0" xfId="2" applyNumberFormat="1" applyFont="1" applyFill="1" applyAlignment="1">
      <alignment horizontal="center"/>
    </xf>
    <xf numFmtId="164" fontId="3" fillId="0" borderId="3" xfId="15" applyNumberFormat="1" applyFont="1" applyFill="1" applyBorder="1" applyAlignment="1">
      <alignment horizontal="center" vertical="center" wrapText="1"/>
    </xf>
    <xf numFmtId="0" fontId="3" fillId="0" borderId="3" xfId="15" applyNumberFormat="1" applyFont="1" applyFill="1" applyBorder="1" applyAlignment="1">
      <alignment horizontal="center" vertical="center" wrapText="1"/>
    </xf>
    <xf numFmtId="0" fontId="3" fillId="0" borderId="3" xfId="15" applyFont="1" applyFill="1" applyBorder="1" applyAlignment="1">
      <alignment horizontal="center" vertical="center" wrapText="1"/>
    </xf>
    <xf numFmtId="9" fontId="3" fillId="0" borderId="3" xfId="29" applyFont="1" applyFill="1" applyBorder="1" applyAlignment="1">
      <alignment horizontal="center" vertical="center" wrapText="1"/>
    </xf>
    <xf numFmtId="43" fontId="3" fillId="0" borderId="3" xfId="2" applyFont="1" applyFill="1" applyBorder="1" applyAlignment="1">
      <alignment horizontal="center" vertical="center" wrapText="1"/>
    </xf>
    <xf numFmtId="43" fontId="3" fillId="0" borderId="6" xfId="2" applyFont="1" applyFill="1" applyBorder="1" applyAlignment="1">
      <alignment horizontal="center" vertical="center" wrapText="1"/>
    </xf>
    <xf numFmtId="43" fontId="3" fillId="0" borderId="2" xfId="2" applyFont="1" applyFill="1" applyBorder="1" applyAlignment="1">
      <alignment horizontal="center" vertical="center" wrapText="1"/>
    </xf>
    <xf numFmtId="43" fontId="3" fillId="0" borderId="7" xfId="2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2" xfId="15" applyFont="1" applyFill="1" applyBorder="1" applyAlignment="1">
      <alignment horizontal="center" vertical="center" wrapText="1"/>
    </xf>
    <xf numFmtId="43" fontId="2" fillId="2" borderId="2" xfId="2" applyFont="1" applyFill="1" applyBorder="1" applyAlignment="1">
      <alignment wrapText="1"/>
    </xf>
    <xf numFmtId="43" fontId="2" fillId="2" borderId="0" xfId="15" applyNumberFormat="1" applyFont="1" applyFill="1" applyAlignment="1">
      <alignment wrapText="1"/>
    </xf>
    <xf numFmtId="0" fontId="2" fillId="2" borderId="4" xfId="15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/>
    </xf>
    <xf numFmtId="49" fontId="2" fillId="2" borderId="2" xfId="15" applyNumberFormat="1" applyFont="1" applyFill="1" applyBorder="1" applyAlignment="1">
      <alignment horizontal="center" vertical="center"/>
    </xf>
    <xf numFmtId="43" fontId="2" fillId="2" borderId="2" xfId="1" applyFont="1" applyFill="1" applyBorder="1" applyAlignment="1">
      <alignment horizontal="center"/>
    </xf>
    <xf numFmtId="9" fontId="2" fillId="2" borderId="2" xfId="29" applyFont="1" applyFill="1" applyBorder="1" applyAlignment="1">
      <alignment horizontal="center"/>
    </xf>
    <xf numFmtId="43" fontId="2" fillId="2" borderId="2" xfId="2" applyFont="1" applyFill="1" applyBorder="1"/>
    <xf numFmtId="43" fontId="2" fillId="2" borderId="5" xfId="2" applyFont="1" applyFill="1" applyBorder="1"/>
    <xf numFmtId="0" fontId="2" fillId="2" borderId="2" xfId="0" applyFont="1" applyFill="1" applyBorder="1" applyAlignment="1">
      <alignment horizontal="center" vertical="center"/>
    </xf>
    <xf numFmtId="43" fontId="2" fillId="0" borderId="2" xfId="2" applyFont="1" applyFill="1" applyBorder="1"/>
    <xf numFmtId="43" fontId="3" fillId="2" borderId="2" xfId="2" applyFont="1" applyFill="1" applyBorder="1"/>
    <xf numFmtId="164" fontId="3" fillId="0" borderId="1" xfId="15" applyNumberFormat="1" applyFont="1" applyFill="1" applyBorder="1" applyAlignment="1" applyProtection="1">
      <alignment horizontal="center"/>
      <protection locked="0"/>
    </xf>
    <xf numFmtId="0" fontId="3" fillId="0" borderId="1" xfId="15" applyNumberFormat="1" applyFont="1" applyFill="1" applyBorder="1" applyAlignment="1" applyProtection="1">
      <alignment horizontal="left"/>
      <protection locked="0"/>
    </xf>
    <xf numFmtId="0" fontId="3" fillId="0" borderId="1" xfId="15" applyFont="1" applyFill="1" applyBorder="1"/>
    <xf numFmtId="0" fontId="3" fillId="0" borderId="1" xfId="15" applyFont="1" applyFill="1" applyBorder="1" applyAlignment="1">
      <alignment horizontal="left"/>
    </xf>
    <xf numFmtId="0" fontId="3" fillId="0" borderId="1" xfId="15" applyFont="1" applyFill="1" applyBorder="1" applyAlignment="1">
      <alignment horizontal="center"/>
    </xf>
    <xf numFmtId="43" fontId="3" fillId="0" borderId="1" xfId="1" applyFont="1" applyFill="1" applyBorder="1"/>
    <xf numFmtId="43" fontId="8" fillId="0" borderId="0" xfId="2" applyFont="1" applyFill="1" applyBorder="1"/>
    <xf numFmtId="43" fontId="8" fillId="0" borderId="0" xfId="2" applyFont="1" applyFill="1"/>
    <xf numFmtId="0" fontId="9" fillId="0" borderId="0" xfId="15" applyFont="1" applyFill="1"/>
    <xf numFmtId="43" fontId="3" fillId="0" borderId="0" xfId="2" applyFont="1" applyFill="1" applyBorder="1" applyAlignment="1"/>
    <xf numFmtId="43" fontId="1" fillId="0" borderId="0" xfId="2" applyFont="1" applyFill="1"/>
    <xf numFmtId="43" fontId="1" fillId="0" borderId="0" xfId="2" applyFont="1" applyFill="1" applyBorder="1"/>
    <xf numFmtId="43" fontId="1" fillId="0" borderId="0" xfId="2" applyFont="1" applyFill="1" applyBorder="1" applyAlignment="1"/>
    <xf numFmtId="0" fontId="10" fillId="0" borderId="0" xfId="15" applyFont="1" applyFill="1"/>
    <xf numFmtId="43" fontId="10" fillId="0" borderId="0" xfId="2" applyFont="1" applyFill="1" applyBorder="1"/>
    <xf numFmtId="164" fontId="2" fillId="0" borderId="0" xfId="15" applyNumberFormat="1" applyFont="1" applyFill="1" applyAlignment="1">
      <alignment horizontal="center"/>
    </xf>
    <xf numFmtId="43" fontId="8" fillId="3" borderId="0" xfId="2" applyFont="1" applyFill="1"/>
    <xf numFmtId="0" fontId="8" fillId="3" borderId="0" xfId="15" applyFont="1" applyFill="1"/>
    <xf numFmtId="164" fontId="2" fillId="0" borderId="0" xfId="15" applyNumberFormat="1" applyFont="1" applyFill="1" applyAlignment="1">
      <alignment horizontal="center"/>
    </xf>
    <xf numFmtId="43" fontId="9" fillId="0" borderId="0" xfId="2" applyFont="1" applyFill="1"/>
    <xf numFmtId="164" fontId="2" fillId="0" borderId="0" xfId="15" applyNumberFormat="1" applyFont="1" applyFill="1" applyAlignment="1">
      <alignment horizontal="center"/>
    </xf>
    <xf numFmtId="43" fontId="8" fillId="2" borderId="0" xfId="2" applyFont="1" applyFill="1"/>
    <xf numFmtId="0" fontId="8" fillId="2" borderId="0" xfId="15" applyFont="1" applyFill="1"/>
    <xf numFmtId="43" fontId="2" fillId="2" borderId="0" xfId="2" applyFont="1" applyFill="1"/>
    <xf numFmtId="164" fontId="2" fillId="0" borderId="3" xfId="15" applyNumberFormat="1" applyFont="1" applyFill="1" applyBorder="1" applyAlignment="1">
      <alignment horizontal="center" vertical="center" wrapText="1"/>
    </xf>
    <xf numFmtId="0" fontId="2" fillId="0" borderId="3" xfId="15" applyFont="1" applyFill="1" applyBorder="1" applyAlignment="1">
      <alignment horizontal="center" vertical="center" wrapText="1"/>
    </xf>
    <xf numFmtId="9" fontId="2" fillId="0" borderId="3" xfId="29" applyFont="1" applyFill="1" applyBorder="1" applyAlignment="1">
      <alignment horizontal="center" vertical="center" wrapText="1"/>
    </xf>
    <xf numFmtId="43" fontId="2" fillId="0" borderId="3" xfId="1" applyFont="1" applyFill="1" applyBorder="1" applyAlignment="1">
      <alignment horizontal="center" vertical="center" wrapText="1"/>
    </xf>
    <xf numFmtId="0" fontId="2" fillId="0" borderId="3" xfId="15" applyNumberFormat="1" applyFont="1" applyFill="1" applyBorder="1" applyAlignment="1">
      <alignment horizontal="center" vertical="center" wrapText="1"/>
    </xf>
    <xf numFmtId="9" fontId="2" fillId="3" borderId="0" xfId="29" applyFont="1" applyFill="1" applyAlignment="1">
      <alignment horizontal="center"/>
    </xf>
    <xf numFmtId="43" fontId="2" fillId="3" borderId="0" xfId="2" applyFont="1" applyFill="1" applyBorder="1"/>
    <xf numFmtId="164" fontId="2" fillId="0" borderId="0" xfId="15" applyNumberFormat="1" applyFont="1" applyFill="1" applyAlignment="1">
      <alignment horizontal="center"/>
    </xf>
    <xf numFmtId="164" fontId="2" fillId="0" borderId="0" xfId="15" applyNumberFormat="1" applyFont="1" applyFill="1" applyAlignment="1">
      <alignment horizontal="center"/>
    </xf>
    <xf numFmtId="9" fontId="2" fillId="2" borderId="0" xfId="29" applyFont="1" applyFill="1" applyAlignment="1">
      <alignment horizontal="center"/>
    </xf>
    <xf numFmtId="43" fontId="2" fillId="2" borderId="0" xfId="2" applyFont="1" applyFill="1" applyBorder="1"/>
    <xf numFmtId="0" fontId="8" fillId="0" borderId="0" xfId="2" applyNumberFormat="1" applyFont="1" applyFill="1"/>
    <xf numFmtId="164" fontId="2" fillId="0" borderId="0" xfId="15" applyNumberFormat="1" applyFont="1" applyFill="1" applyAlignment="1">
      <alignment horizontal="center"/>
    </xf>
    <xf numFmtId="2" fontId="2" fillId="0" borderId="3" xfId="15" applyNumberFormat="1" applyFont="1" applyFill="1" applyBorder="1" applyAlignment="1">
      <alignment horizontal="center" vertical="center" wrapText="1"/>
    </xf>
    <xf numFmtId="164" fontId="2" fillId="0" borderId="0" xfId="15" applyNumberFormat="1" applyFont="1" applyFill="1" applyAlignment="1">
      <alignment horizontal="center"/>
    </xf>
    <xf numFmtId="164" fontId="2" fillId="0" borderId="0" xfId="15" applyNumberFormat="1" applyFont="1" applyFill="1" applyAlignment="1">
      <alignment horizontal="center"/>
    </xf>
    <xf numFmtId="13" fontId="2" fillId="2" borderId="5" xfId="2" applyNumberFormat="1" applyFont="1" applyFill="1" applyBorder="1"/>
    <xf numFmtId="0" fontId="2" fillId="2" borderId="2" xfId="15" applyNumberFormat="1" applyFont="1" applyFill="1" applyBorder="1" applyAlignment="1">
      <alignment horizontal="center" vertical="center" wrapText="1"/>
    </xf>
    <xf numFmtId="164" fontId="2" fillId="0" borderId="0" xfId="15" applyNumberFormat="1" applyFont="1" applyFill="1" applyAlignment="1">
      <alignment horizontal="center"/>
    </xf>
    <xf numFmtId="164" fontId="2" fillId="0" borderId="0" xfId="15" applyNumberFormat="1" applyFont="1" applyFill="1" applyAlignment="1">
      <alignment horizontal="center"/>
    </xf>
  </cellXfs>
  <cellStyles count="30">
    <cellStyle name="Comma" xfId="1" builtinId="3"/>
    <cellStyle name="Comma 10" xfId="2"/>
    <cellStyle name="Comma 11" xfId="3"/>
    <cellStyle name="Comma 11 3" xfId="4"/>
    <cellStyle name="Comma 11 4" xfId="5"/>
    <cellStyle name="Comma 11 5" xfId="6"/>
    <cellStyle name="Comma 11 5 2" xfId="7"/>
    <cellStyle name="Comma 2" xfId="8"/>
    <cellStyle name="Comma 2 2" xfId="9"/>
    <cellStyle name="Comma 2 2 2" xfId="10"/>
    <cellStyle name="Comma 2 5" xfId="11"/>
    <cellStyle name="Comma 3" xfId="12"/>
    <cellStyle name="Comma 4 2 2" xfId="13"/>
    <cellStyle name="Excel Built-in Normal" xfId="14"/>
    <cellStyle name="Normal" xfId="0" builtinId="0"/>
    <cellStyle name="Normal 10" xfId="15"/>
    <cellStyle name="Normal 2" xfId="16"/>
    <cellStyle name="Normal 2 2" xfId="17"/>
    <cellStyle name="Normal 32" xfId="18"/>
    <cellStyle name="Normal 33" xfId="19"/>
    <cellStyle name="Normal 34" xfId="20"/>
    <cellStyle name="Normal 35" xfId="21"/>
    <cellStyle name="Normal 36" xfId="22"/>
    <cellStyle name="Normal 37" xfId="23"/>
    <cellStyle name="Normal 7 3" xfId="24"/>
    <cellStyle name="Normal 7 4" xfId="25"/>
    <cellStyle name="Normal 7 5" xfId="26"/>
    <cellStyle name="Normal 8" xfId="27"/>
    <cellStyle name="Normal 9" xfId="28"/>
    <cellStyle name="Percent 2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ecy\AppData\Local\Temp\Ortigas\Ortigas%202006\Ortigas%20May\05%20SALES%20RECO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ecy\AppData\Local\Temp\GALLERIA%20-%20SALES%20(Feb'07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osh%20april%202006\ortigas\04%20SALES%20RECOR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ROYALTY old"/>
      <sheetName val="Error Detection"/>
      <sheetName val="ROYALTY"/>
      <sheetName val="MARKETING old"/>
      <sheetName val="MARKETING"/>
      <sheetName val="1-15 Sales"/>
      <sheetName val="16-31 Sales"/>
      <sheetName val="SUMMARY"/>
      <sheetName val="1-15 SC sched"/>
      <sheetName val="SC Summary 1-15"/>
      <sheetName val="1-15 SC report"/>
      <sheetName val="16-31 SC sched"/>
      <sheetName val="Bank 1-15"/>
      <sheetName val="SC Summary 16-31"/>
      <sheetName val="16-31 SC report"/>
      <sheetName val="Bank 16-31"/>
      <sheetName val="C1"/>
      <sheetName val="S1"/>
      <sheetName val="C2"/>
      <sheetName val="S2"/>
      <sheetName val="C3"/>
      <sheetName val="S3"/>
      <sheetName val="C4"/>
      <sheetName val="S4"/>
      <sheetName val="C5"/>
      <sheetName val="S5"/>
      <sheetName val="C6"/>
      <sheetName val="S6"/>
      <sheetName val="C7"/>
      <sheetName val="S7"/>
      <sheetName val="C8"/>
      <sheetName val="S8"/>
      <sheetName val="C9"/>
      <sheetName val="S9"/>
      <sheetName val="C10"/>
      <sheetName val="S10"/>
      <sheetName val="C11"/>
      <sheetName val="S11"/>
      <sheetName val="C12"/>
      <sheetName val="S12"/>
      <sheetName val="C13"/>
      <sheetName val="S13"/>
      <sheetName val="C14"/>
      <sheetName val="S14"/>
      <sheetName val="C15"/>
      <sheetName val="S15"/>
      <sheetName val="C16"/>
      <sheetName val="S16"/>
      <sheetName val="C17"/>
      <sheetName val="S17"/>
      <sheetName val="C18"/>
      <sheetName val="S18"/>
      <sheetName val="C19"/>
      <sheetName val="S19"/>
      <sheetName val="C20"/>
      <sheetName val="S20"/>
      <sheetName val="C21"/>
      <sheetName val="S21"/>
      <sheetName val="C22"/>
      <sheetName val="S22"/>
      <sheetName val="C23"/>
      <sheetName val="S23"/>
      <sheetName val="C24"/>
      <sheetName val="S24"/>
      <sheetName val="C25"/>
      <sheetName val="S25"/>
      <sheetName val="C26"/>
      <sheetName val="S26"/>
      <sheetName val="C27"/>
      <sheetName val="S27"/>
      <sheetName val="C28"/>
      <sheetName val="S28"/>
      <sheetName val="C29"/>
      <sheetName val="S29"/>
      <sheetName val="C30"/>
      <sheetName val="S30"/>
      <sheetName val="C31"/>
      <sheetName val="S31"/>
      <sheetName val="SALL"/>
    </sheetNames>
    <sheetDataSet>
      <sheetData sheetId="0">
        <row r="25">
          <cell r="D25" t="str">
            <v>GUY</v>
          </cell>
        </row>
        <row r="26">
          <cell r="D26" t="str">
            <v>RECEL</v>
          </cell>
        </row>
        <row r="27">
          <cell r="D27" t="str">
            <v>BABZIE</v>
          </cell>
        </row>
        <row r="28">
          <cell r="D28" t="str">
            <v>CREZY</v>
          </cell>
        </row>
        <row r="29">
          <cell r="D29" t="str">
            <v>OWEN</v>
          </cell>
        </row>
        <row r="30">
          <cell r="D30" t="str">
            <v>ALFONZO</v>
          </cell>
        </row>
        <row r="31">
          <cell r="D31" t="str">
            <v>ANNABELLE</v>
          </cell>
        </row>
        <row r="32">
          <cell r="D32" t="str">
            <v>OBET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ny Setup"/>
      <sheetName val="OC Setup"/>
      <sheetName val="Summary"/>
      <sheetName val="Royalty"/>
      <sheetName val="Marketing"/>
      <sheetName val="Cashier Report"/>
      <sheetName val="Sales Voucher"/>
    </sheetNames>
    <sheetDataSet>
      <sheetData sheetId="0">
        <row r="3">
          <cell r="K3">
            <v>2007</v>
          </cell>
        </row>
        <row r="5">
          <cell r="K5" t="str">
            <v>FEBRUARY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ROYALTY old"/>
      <sheetName val="Error Detection"/>
      <sheetName val="ROYALTY"/>
      <sheetName val="MARKETING old"/>
      <sheetName val="MARKETING"/>
      <sheetName val="1-15 Sales"/>
      <sheetName val="16-31 Sales"/>
      <sheetName val="SUMMARY"/>
      <sheetName val="1-15 SC sched"/>
      <sheetName val="SC Summary 1-15"/>
      <sheetName val="1-15 SC report"/>
      <sheetName val="16-31 SC sched"/>
      <sheetName val="Bank 1-15"/>
      <sheetName val="SC Summary 16-31"/>
      <sheetName val="16-31 SC report"/>
      <sheetName val="Bank 16-31"/>
      <sheetName val="C1"/>
      <sheetName val="S1"/>
      <sheetName val="C2"/>
      <sheetName val="S2"/>
      <sheetName val="C3"/>
      <sheetName val="S3"/>
      <sheetName val="C4"/>
      <sheetName val="S4"/>
      <sheetName val="C5"/>
      <sheetName val="S5"/>
      <sheetName val="C6"/>
      <sheetName val="S6"/>
      <sheetName val="C7"/>
      <sheetName val="S7"/>
      <sheetName val="C8"/>
      <sheetName val="S8"/>
      <sheetName val="C9"/>
      <sheetName val="S9"/>
      <sheetName val="C10"/>
      <sheetName val="S10"/>
      <sheetName val="C11"/>
      <sheetName val="S11"/>
      <sheetName val="C12"/>
      <sheetName val="S12"/>
      <sheetName val="C13"/>
      <sheetName val="S13"/>
      <sheetName val="C14"/>
      <sheetName val="S14"/>
      <sheetName val="C15"/>
      <sheetName val="S15"/>
      <sheetName val="C16"/>
      <sheetName val="S16"/>
      <sheetName val="C17"/>
      <sheetName val="S17"/>
      <sheetName val="C18"/>
      <sheetName val="S18"/>
      <sheetName val="C19"/>
      <sheetName val="S19"/>
      <sheetName val="C20"/>
      <sheetName val="S20"/>
      <sheetName val="C21"/>
      <sheetName val="S21"/>
      <sheetName val="C22"/>
      <sheetName val="S22"/>
      <sheetName val="C23"/>
      <sheetName val="S23"/>
      <sheetName val="C24"/>
      <sheetName val="S24"/>
      <sheetName val="C25"/>
      <sheetName val="S25"/>
      <sheetName val="C26"/>
      <sheetName val="S26"/>
      <sheetName val="C27"/>
      <sheetName val="S27"/>
      <sheetName val="C28"/>
      <sheetName val="S28"/>
      <sheetName val="C29"/>
      <sheetName val="S29"/>
      <sheetName val="C30"/>
      <sheetName val="S30"/>
      <sheetName val="C31"/>
      <sheetName val="S31"/>
      <sheetName val="SALL"/>
    </sheetNames>
    <sheetDataSet>
      <sheetData sheetId="0" refreshError="1">
        <row r="25">
          <cell r="F25">
            <v>2500</v>
          </cell>
        </row>
        <row r="26">
          <cell r="F26">
            <v>1000</v>
          </cell>
        </row>
        <row r="27">
          <cell r="F27">
            <v>500</v>
          </cell>
        </row>
        <row r="28">
          <cell r="F28">
            <v>500</v>
          </cell>
        </row>
        <row r="29">
          <cell r="F29">
            <v>500</v>
          </cell>
        </row>
        <row r="30">
          <cell r="F30">
            <v>500</v>
          </cell>
        </row>
        <row r="31">
          <cell r="F31">
            <v>1000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"/>
  <sheetViews>
    <sheetView workbookViewId="0">
      <pane ySplit="4" topLeftCell="A8" activePane="bottomLeft" state="frozen"/>
      <selection pane="bottomLeft" activeCell="C8" sqref="C8"/>
    </sheetView>
  </sheetViews>
  <sheetFormatPr defaultRowHeight="11.25" x14ac:dyDescent="0.2"/>
  <cols>
    <col min="1" max="1" width="8.140625" style="53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11.140625" style="2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customWidth="1"/>
    <col min="13" max="13" width="9.7109375" style="2" customWidth="1"/>
    <col min="14" max="14" width="8.5703125" style="2" customWidth="1"/>
    <col min="15" max="15" width="9" style="2" customWidth="1"/>
    <col min="16" max="16" width="9.85546875" style="2" customWidth="1"/>
    <col min="17" max="17" width="10.85546875" style="2" customWidth="1"/>
    <col min="18" max="18" width="10.7109375" style="2" hidden="1" customWidth="1"/>
    <col min="19" max="19" width="9.5703125" style="2" customWidth="1"/>
    <col min="20" max="21" width="9.140625" style="2" hidden="1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hidden="1" customWidth="1"/>
    <col min="26" max="26" width="8.28515625" style="2" hidden="1" customWidth="1"/>
    <col min="27" max="27" width="8.7109375" style="2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3" ht="12" customHeight="1" x14ac:dyDescent="0.2">
      <c r="A1" s="12" t="s">
        <v>30</v>
      </c>
      <c r="C1" s="13"/>
    </row>
    <row r="2" spans="1:33" ht="12" customHeight="1" x14ac:dyDescent="0.2">
      <c r="A2" s="12" t="s">
        <v>26</v>
      </c>
    </row>
    <row r="3" spans="1:33" ht="12" customHeight="1" x14ac:dyDescent="0.2">
      <c r="A3" s="12" t="s">
        <v>59</v>
      </c>
      <c r="B3" s="13"/>
      <c r="C3" s="14"/>
      <c r="N3" s="15">
        <v>1301</v>
      </c>
      <c r="O3" s="15">
        <v>2402</v>
      </c>
      <c r="P3" s="15">
        <v>5001</v>
      </c>
      <c r="Q3" s="15">
        <v>5002</v>
      </c>
      <c r="R3" s="15">
        <v>6220</v>
      </c>
      <c r="S3" s="15">
        <v>6219</v>
      </c>
      <c r="T3" s="15">
        <v>6212</v>
      </c>
      <c r="U3" s="15"/>
      <c r="V3" s="15"/>
      <c r="W3" s="15"/>
      <c r="X3" s="15"/>
      <c r="Y3" s="15" t="s">
        <v>25</v>
      </c>
      <c r="Z3" s="15"/>
      <c r="AA3" s="15">
        <v>6230</v>
      </c>
      <c r="AB3" s="15" t="s">
        <v>24</v>
      </c>
      <c r="AC3" s="15">
        <v>6202</v>
      </c>
      <c r="AD3" s="15"/>
      <c r="AE3" s="15">
        <v>6109</v>
      </c>
      <c r="AF3" s="15">
        <v>1002</v>
      </c>
    </row>
    <row r="4" spans="1:33" s="10" customFormat="1" ht="44.25" customHeight="1" x14ac:dyDescent="0.25">
      <c r="A4" s="16" t="s">
        <v>23</v>
      </c>
      <c r="B4" s="17" t="s">
        <v>22</v>
      </c>
      <c r="C4" s="18" t="s">
        <v>21</v>
      </c>
      <c r="D4" s="18" t="s">
        <v>20</v>
      </c>
      <c r="E4" s="18" t="s">
        <v>27</v>
      </c>
      <c r="F4" s="18" t="s">
        <v>19</v>
      </c>
      <c r="G4" s="18" t="s">
        <v>18</v>
      </c>
      <c r="H4" s="18" t="s">
        <v>17</v>
      </c>
      <c r="I4" s="18" t="s">
        <v>16</v>
      </c>
      <c r="J4" s="18" t="s">
        <v>15</v>
      </c>
      <c r="K4" s="18" t="s">
        <v>14</v>
      </c>
      <c r="L4" s="19" t="s">
        <v>13</v>
      </c>
      <c r="M4" s="18" t="s">
        <v>12</v>
      </c>
      <c r="N4" s="20" t="s">
        <v>11</v>
      </c>
      <c r="O4" s="20" t="s">
        <v>10</v>
      </c>
      <c r="P4" s="20" t="s">
        <v>9</v>
      </c>
      <c r="Q4" s="20" t="s">
        <v>8</v>
      </c>
      <c r="R4" s="20" t="s">
        <v>31</v>
      </c>
      <c r="S4" s="20" t="s">
        <v>52</v>
      </c>
      <c r="T4" s="20" t="s">
        <v>7</v>
      </c>
      <c r="U4" s="20" t="s">
        <v>28</v>
      </c>
      <c r="V4" s="20" t="s">
        <v>32</v>
      </c>
      <c r="W4" s="20" t="s">
        <v>33</v>
      </c>
      <c r="X4" s="20" t="s">
        <v>34</v>
      </c>
      <c r="Y4" s="20" t="s">
        <v>6</v>
      </c>
      <c r="Z4" s="20" t="s">
        <v>29</v>
      </c>
      <c r="AA4" s="20" t="s">
        <v>5</v>
      </c>
      <c r="AB4" s="20" t="s">
        <v>4</v>
      </c>
      <c r="AC4" s="21" t="s">
        <v>3</v>
      </c>
      <c r="AD4" s="20" t="s">
        <v>1</v>
      </c>
      <c r="AE4" s="22" t="s">
        <v>2</v>
      </c>
      <c r="AF4" s="23" t="s">
        <v>0</v>
      </c>
    </row>
    <row r="5" spans="1:33" s="11" customFormat="1" ht="23.25" customHeight="1" x14ac:dyDescent="0.2">
      <c r="A5" s="29">
        <v>44105</v>
      </c>
      <c r="B5" s="30"/>
      <c r="C5" s="24" t="s">
        <v>43</v>
      </c>
      <c r="D5" s="24"/>
      <c r="E5" s="24"/>
      <c r="F5" s="25"/>
      <c r="G5" s="25" t="s">
        <v>60</v>
      </c>
      <c r="H5" s="31">
        <v>100</v>
      </c>
      <c r="I5" s="31"/>
      <c r="J5" s="31"/>
      <c r="K5" s="31"/>
      <c r="L5" s="32"/>
      <c r="M5" s="26">
        <f t="shared" ref="M5:M13" si="0">SUM(H5:J5,K5/1.12)</f>
        <v>100</v>
      </c>
      <c r="N5" s="26">
        <f t="shared" ref="N5:N13" si="1">K5/1.12*0.12</f>
        <v>0</v>
      </c>
      <c r="O5" s="26">
        <f t="shared" ref="O5:O13" si="2">-SUM(I5:J5,K5/1.12)*L5</f>
        <v>0</v>
      </c>
      <c r="P5" s="26"/>
      <c r="Q5" s="33"/>
      <c r="R5" s="33"/>
      <c r="S5" s="34"/>
      <c r="T5" s="34"/>
      <c r="U5" s="34"/>
      <c r="V5" s="34"/>
      <c r="W5" s="34"/>
      <c r="X5" s="33"/>
      <c r="Y5" s="33"/>
      <c r="Z5" s="33"/>
      <c r="AA5" s="33">
        <v>100</v>
      </c>
      <c r="AB5" s="34"/>
      <c r="AC5" s="34"/>
      <c r="AD5" s="33"/>
      <c r="AE5" s="33"/>
      <c r="AF5" s="26">
        <f t="shared" ref="AF5:AF13" si="3">-SUM(N5:AE5)</f>
        <v>-100</v>
      </c>
      <c r="AG5" s="27">
        <f t="shared" ref="AG5:AG13" si="4">SUM(H5:K5)+AF5+O5</f>
        <v>0</v>
      </c>
    </row>
    <row r="6" spans="1:33" s="11" customFormat="1" ht="23.25" customHeight="1" x14ac:dyDescent="0.2">
      <c r="A6" s="29">
        <v>44105</v>
      </c>
      <c r="B6" s="30"/>
      <c r="C6" s="24" t="s">
        <v>61</v>
      </c>
      <c r="D6" s="24"/>
      <c r="E6" s="24"/>
      <c r="F6" s="25">
        <v>2254</v>
      </c>
      <c r="G6" s="25" t="s">
        <v>62</v>
      </c>
      <c r="H6" s="31"/>
      <c r="I6" s="31"/>
      <c r="J6" s="31">
        <v>640</v>
      </c>
      <c r="K6" s="31"/>
      <c r="L6" s="32"/>
      <c r="M6" s="26">
        <f t="shared" si="0"/>
        <v>640</v>
      </c>
      <c r="N6" s="26">
        <f t="shared" si="1"/>
        <v>0</v>
      </c>
      <c r="O6" s="26">
        <f t="shared" si="2"/>
        <v>0</v>
      </c>
      <c r="P6" s="26">
        <v>640</v>
      </c>
      <c r="Q6" s="33"/>
      <c r="R6" s="33"/>
      <c r="S6" s="34"/>
      <c r="T6" s="34"/>
      <c r="U6" s="34"/>
      <c r="V6" s="34"/>
      <c r="W6" s="34"/>
      <c r="X6" s="33"/>
      <c r="Y6" s="33"/>
      <c r="Z6" s="33"/>
      <c r="AA6" s="33"/>
      <c r="AB6" s="34"/>
      <c r="AC6" s="34"/>
      <c r="AD6" s="33"/>
      <c r="AE6" s="33"/>
      <c r="AF6" s="26">
        <f t="shared" si="3"/>
        <v>-640</v>
      </c>
      <c r="AG6" s="27">
        <f t="shared" si="4"/>
        <v>0</v>
      </c>
    </row>
    <row r="7" spans="1:33" s="11" customFormat="1" ht="23.25" customHeight="1" x14ac:dyDescent="0.2">
      <c r="A7" s="29">
        <v>44105</v>
      </c>
      <c r="B7" s="30"/>
      <c r="C7" s="24" t="s">
        <v>63</v>
      </c>
      <c r="D7" s="24"/>
      <c r="E7" s="24"/>
      <c r="F7" s="25">
        <v>3481</v>
      </c>
      <c r="G7" s="25" t="s">
        <v>57</v>
      </c>
      <c r="H7" s="31"/>
      <c r="I7" s="31"/>
      <c r="J7" s="31">
        <v>680</v>
      </c>
      <c r="K7" s="31"/>
      <c r="L7" s="32"/>
      <c r="M7" s="26">
        <f t="shared" ref="M7:M10" si="5">SUM(H7:J7,K7/1.12)</f>
        <v>680</v>
      </c>
      <c r="N7" s="26">
        <f t="shared" ref="N7:N10" si="6">K7/1.12*0.12</f>
        <v>0</v>
      </c>
      <c r="O7" s="26">
        <f t="shared" ref="O7:O10" si="7">-SUM(I7:J7,K7/1.12)*L7</f>
        <v>0</v>
      </c>
      <c r="P7" s="26">
        <v>680</v>
      </c>
      <c r="Q7" s="33"/>
      <c r="R7" s="33"/>
      <c r="S7" s="34"/>
      <c r="T7" s="34"/>
      <c r="U7" s="34"/>
      <c r="V7" s="34"/>
      <c r="W7" s="34"/>
      <c r="X7" s="33"/>
      <c r="Y7" s="33"/>
      <c r="Z7" s="33"/>
      <c r="AA7" s="33"/>
      <c r="AB7" s="34"/>
      <c r="AC7" s="34"/>
      <c r="AD7" s="33"/>
      <c r="AE7" s="33"/>
      <c r="AF7" s="26">
        <f t="shared" ref="AF7:AF10" si="8">-SUM(N7:AE7)</f>
        <v>-680</v>
      </c>
      <c r="AG7" s="27">
        <f t="shared" ref="AG7:AG10" si="9">SUM(H7:K7)+AF7+O7</f>
        <v>0</v>
      </c>
    </row>
    <row r="8" spans="1:33" s="11" customFormat="1" ht="23.25" customHeight="1" x14ac:dyDescent="0.2">
      <c r="A8" s="29">
        <v>44105</v>
      </c>
      <c r="B8" s="30"/>
      <c r="C8" s="24" t="s">
        <v>64</v>
      </c>
      <c r="D8" s="24"/>
      <c r="E8" s="24"/>
      <c r="F8" s="25">
        <v>29509</v>
      </c>
      <c r="G8" s="25" t="s">
        <v>65</v>
      </c>
      <c r="H8" s="31"/>
      <c r="I8" s="31"/>
      <c r="J8" s="31">
        <v>250</v>
      </c>
      <c r="K8" s="31"/>
      <c r="L8" s="32"/>
      <c r="M8" s="26">
        <f t="shared" si="5"/>
        <v>250</v>
      </c>
      <c r="N8" s="26">
        <f t="shared" si="6"/>
        <v>0</v>
      </c>
      <c r="O8" s="26">
        <f t="shared" si="7"/>
        <v>0</v>
      </c>
      <c r="P8" s="26">
        <v>250</v>
      </c>
      <c r="Q8" s="33"/>
      <c r="R8" s="33"/>
      <c r="S8" s="34"/>
      <c r="T8" s="34"/>
      <c r="U8" s="34"/>
      <c r="V8" s="34"/>
      <c r="W8" s="34"/>
      <c r="X8" s="33"/>
      <c r="Y8" s="33"/>
      <c r="Z8" s="33"/>
      <c r="AA8" s="33"/>
      <c r="AB8" s="34"/>
      <c r="AC8" s="34"/>
      <c r="AD8" s="33"/>
      <c r="AE8" s="33"/>
      <c r="AF8" s="26">
        <f t="shared" si="8"/>
        <v>-250</v>
      </c>
      <c r="AG8" s="27">
        <f t="shared" si="9"/>
        <v>0</v>
      </c>
    </row>
    <row r="9" spans="1:33" s="11" customFormat="1" ht="23.25" customHeight="1" x14ac:dyDescent="0.2">
      <c r="A9" s="29">
        <v>44105</v>
      </c>
      <c r="B9" s="30"/>
      <c r="C9" s="24" t="s">
        <v>58</v>
      </c>
      <c r="D9" s="24"/>
      <c r="E9" s="24"/>
      <c r="F9" s="25">
        <v>19118</v>
      </c>
      <c r="G9" s="25" t="s">
        <v>66</v>
      </c>
      <c r="H9" s="31"/>
      <c r="I9" s="31"/>
      <c r="J9" s="31"/>
      <c r="K9" s="31">
        <v>685</v>
      </c>
      <c r="L9" s="32"/>
      <c r="M9" s="26">
        <f t="shared" si="5"/>
        <v>611.60714285714278</v>
      </c>
      <c r="N9" s="26">
        <f t="shared" si="6"/>
        <v>73.392857142857125</v>
      </c>
      <c r="O9" s="26">
        <f t="shared" si="7"/>
        <v>0</v>
      </c>
      <c r="P9" s="26">
        <v>611.61</v>
      </c>
      <c r="Q9" s="33"/>
      <c r="R9" s="33"/>
      <c r="S9" s="34"/>
      <c r="T9" s="34"/>
      <c r="U9" s="34"/>
      <c r="V9" s="34"/>
      <c r="W9" s="34"/>
      <c r="X9" s="33"/>
      <c r="Y9" s="33"/>
      <c r="Z9" s="33"/>
      <c r="AA9" s="33"/>
      <c r="AB9" s="34"/>
      <c r="AC9" s="34"/>
      <c r="AD9" s="33"/>
      <c r="AE9" s="33"/>
      <c r="AF9" s="26">
        <f t="shared" si="8"/>
        <v>-685.00285714285712</v>
      </c>
      <c r="AG9" s="27">
        <f t="shared" si="9"/>
        <v>-2.8571428571240176E-3</v>
      </c>
    </row>
    <row r="10" spans="1:33" s="11" customFormat="1" ht="23.25" customHeight="1" x14ac:dyDescent="0.2">
      <c r="A10" s="29">
        <v>44105</v>
      </c>
      <c r="B10" s="30"/>
      <c r="C10" s="24" t="s">
        <v>37</v>
      </c>
      <c r="D10" s="24"/>
      <c r="E10" s="24"/>
      <c r="F10" s="25">
        <v>35465</v>
      </c>
      <c r="G10" s="25" t="s">
        <v>35</v>
      </c>
      <c r="H10" s="31"/>
      <c r="I10" s="31"/>
      <c r="J10" s="31"/>
      <c r="K10" s="31">
        <v>42</v>
      </c>
      <c r="L10" s="32"/>
      <c r="M10" s="26">
        <f t="shared" si="5"/>
        <v>37.499999999999993</v>
      </c>
      <c r="N10" s="26">
        <f t="shared" si="6"/>
        <v>4.4999999999999991</v>
      </c>
      <c r="O10" s="26">
        <f t="shared" si="7"/>
        <v>0</v>
      </c>
      <c r="P10" s="26"/>
      <c r="Q10" s="33">
        <v>37.5</v>
      </c>
      <c r="R10" s="33"/>
      <c r="S10" s="34"/>
      <c r="T10" s="34"/>
      <c r="U10" s="34"/>
      <c r="V10" s="34"/>
      <c r="W10" s="34"/>
      <c r="X10" s="33"/>
      <c r="Y10" s="33"/>
      <c r="Z10" s="33"/>
      <c r="AA10" s="33"/>
      <c r="AB10" s="34"/>
      <c r="AC10" s="34"/>
      <c r="AD10" s="33"/>
      <c r="AE10" s="33"/>
      <c r="AF10" s="26">
        <f t="shared" si="8"/>
        <v>-42</v>
      </c>
      <c r="AG10" s="27">
        <f t="shared" si="9"/>
        <v>0</v>
      </c>
    </row>
    <row r="11" spans="1:33" s="11" customFormat="1" ht="39.75" customHeight="1" x14ac:dyDescent="0.2">
      <c r="A11" s="29">
        <v>44105</v>
      </c>
      <c r="B11" s="30"/>
      <c r="C11" s="24" t="s">
        <v>36</v>
      </c>
      <c r="D11" s="24"/>
      <c r="E11" s="24"/>
      <c r="F11" s="25">
        <v>169331</v>
      </c>
      <c r="G11" s="25" t="s">
        <v>69</v>
      </c>
      <c r="H11" s="31"/>
      <c r="I11" s="31"/>
      <c r="J11" s="31"/>
      <c r="K11" s="31">
        <v>405</v>
      </c>
      <c r="L11" s="32"/>
      <c r="M11" s="26">
        <f t="shared" si="0"/>
        <v>361.60714285714283</v>
      </c>
      <c r="N11" s="26">
        <f t="shared" si="1"/>
        <v>43.392857142857139</v>
      </c>
      <c r="O11" s="26">
        <f t="shared" si="2"/>
        <v>0</v>
      </c>
      <c r="P11" s="26">
        <v>361.61</v>
      </c>
      <c r="Q11" s="33"/>
      <c r="R11" s="33"/>
      <c r="S11" s="34"/>
      <c r="T11" s="34"/>
      <c r="U11" s="34"/>
      <c r="V11" s="34"/>
      <c r="W11" s="34"/>
      <c r="X11" s="33"/>
      <c r="Y11" s="33"/>
      <c r="Z11" s="33"/>
      <c r="AA11" s="33"/>
      <c r="AB11" s="34"/>
      <c r="AC11" s="34"/>
      <c r="AD11" s="33"/>
      <c r="AE11" s="33"/>
      <c r="AF11" s="26">
        <f t="shared" si="3"/>
        <v>-405.00285714285712</v>
      </c>
      <c r="AG11" s="27">
        <f t="shared" si="4"/>
        <v>-2.8571428571240176E-3</v>
      </c>
    </row>
    <row r="12" spans="1:33" s="11" customFormat="1" ht="23.25" customHeight="1" x14ac:dyDescent="0.2">
      <c r="A12" s="29">
        <v>44105</v>
      </c>
      <c r="B12" s="30"/>
      <c r="C12" s="24" t="s">
        <v>36</v>
      </c>
      <c r="D12" s="24"/>
      <c r="E12" s="24"/>
      <c r="F12" s="25">
        <v>169331</v>
      </c>
      <c r="G12" s="25" t="s">
        <v>67</v>
      </c>
      <c r="H12" s="31"/>
      <c r="I12" s="31"/>
      <c r="J12" s="31"/>
      <c r="K12" s="31">
        <f>119.25+40.5+158</f>
        <v>317.75</v>
      </c>
      <c r="L12" s="32"/>
      <c r="M12" s="26">
        <f t="shared" si="0"/>
        <v>283.70535714285711</v>
      </c>
      <c r="N12" s="26">
        <f t="shared" si="1"/>
        <v>34.044642857142854</v>
      </c>
      <c r="O12" s="26">
        <f t="shared" si="2"/>
        <v>0</v>
      </c>
      <c r="P12" s="26"/>
      <c r="Q12" s="33"/>
      <c r="R12" s="33"/>
      <c r="S12" s="34">
        <v>283.70999999999998</v>
      </c>
      <c r="T12" s="34"/>
      <c r="U12" s="34"/>
      <c r="V12" s="34"/>
      <c r="W12" s="34"/>
      <c r="X12" s="33"/>
      <c r="Y12" s="33"/>
      <c r="Z12" s="33"/>
      <c r="AA12" s="33"/>
      <c r="AB12" s="34"/>
      <c r="AC12" s="34"/>
      <c r="AD12" s="33"/>
      <c r="AE12" s="33"/>
      <c r="AF12" s="26">
        <f t="shared" si="3"/>
        <v>-317.75464285714281</v>
      </c>
      <c r="AG12" s="27">
        <f t="shared" si="4"/>
        <v>-4.6428571428123178E-3</v>
      </c>
    </row>
    <row r="13" spans="1:33" s="11" customFormat="1" ht="23.25" customHeight="1" x14ac:dyDescent="0.2">
      <c r="A13" s="29">
        <v>44105</v>
      </c>
      <c r="B13" s="30"/>
      <c r="C13" s="24" t="s">
        <v>56</v>
      </c>
      <c r="D13" s="24"/>
      <c r="E13" s="24"/>
      <c r="F13" s="25">
        <v>5456</v>
      </c>
      <c r="G13" s="25" t="s">
        <v>68</v>
      </c>
      <c r="H13" s="31"/>
      <c r="I13" s="31"/>
      <c r="J13" s="31"/>
      <c r="K13" s="31">
        <v>40</v>
      </c>
      <c r="L13" s="32"/>
      <c r="M13" s="26">
        <f t="shared" si="0"/>
        <v>35.714285714285708</v>
      </c>
      <c r="N13" s="26">
        <f t="shared" si="1"/>
        <v>4.2857142857142847</v>
      </c>
      <c r="O13" s="26">
        <f t="shared" si="2"/>
        <v>0</v>
      </c>
      <c r="P13" s="26">
        <v>35.71</v>
      </c>
      <c r="Q13" s="33"/>
      <c r="R13" s="33"/>
      <c r="S13" s="34"/>
      <c r="T13" s="34"/>
      <c r="U13" s="34"/>
      <c r="V13" s="34"/>
      <c r="W13" s="34"/>
      <c r="X13" s="33"/>
      <c r="Y13" s="33"/>
      <c r="Z13" s="33"/>
      <c r="AA13" s="33"/>
      <c r="AB13" s="34"/>
      <c r="AC13" s="34"/>
      <c r="AD13" s="33"/>
      <c r="AE13" s="33"/>
      <c r="AF13" s="26">
        <f t="shared" si="3"/>
        <v>-39.995714285714286</v>
      </c>
      <c r="AG13" s="27">
        <f t="shared" si="4"/>
        <v>4.2857142857144481E-3</v>
      </c>
    </row>
    <row r="14" spans="1:33" s="11" customFormat="1" ht="30" customHeight="1" x14ac:dyDescent="0.2">
      <c r="A14" s="29">
        <v>44105</v>
      </c>
      <c r="B14" s="30"/>
      <c r="C14" s="24" t="s">
        <v>38</v>
      </c>
      <c r="D14" s="24"/>
      <c r="E14" s="24"/>
      <c r="F14" s="25">
        <v>281233</v>
      </c>
      <c r="G14" s="25" t="s">
        <v>70</v>
      </c>
      <c r="H14" s="31"/>
      <c r="I14" s="31"/>
      <c r="J14" s="31"/>
      <c r="K14" s="31">
        <f>2034.78+244.17</f>
        <v>2278.9499999999998</v>
      </c>
      <c r="L14" s="32"/>
      <c r="M14" s="26">
        <f t="shared" ref="M14" si="10">SUM(H14:J14,K14/1.12)</f>
        <v>2034.7767857142853</v>
      </c>
      <c r="N14" s="26">
        <f t="shared" ref="N14" si="11">K14/1.12*0.12</f>
        <v>244.17321428571424</v>
      </c>
      <c r="O14" s="26">
        <f t="shared" ref="O14" si="12">-SUM(I14:J14,K14/1.12)*L14</f>
        <v>0</v>
      </c>
      <c r="P14" s="26">
        <v>2034.78</v>
      </c>
      <c r="Q14" s="33"/>
      <c r="R14" s="33"/>
      <c r="S14" s="34"/>
      <c r="T14" s="34"/>
      <c r="U14" s="34"/>
      <c r="V14" s="34"/>
      <c r="W14" s="34"/>
      <c r="X14" s="33"/>
      <c r="Y14" s="33"/>
      <c r="Z14" s="33"/>
      <c r="AA14" s="33"/>
      <c r="AB14" s="34"/>
      <c r="AC14" s="34"/>
      <c r="AD14" s="33"/>
      <c r="AE14" s="33"/>
      <c r="AF14" s="26">
        <f t="shared" ref="AF14" si="13">-SUM(N14:AE14)</f>
        <v>-2278.9532142857142</v>
      </c>
      <c r="AG14" s="27">
        <f t="shared" ref="AG14" si="14">SUM(H14:K14)+AF14+O14</f>
        <v>-3.2142857144208392E-3</v>
      </c>
    </row>
    <row r="15" spans="1:33" s="11" customFormat="1" ht="23.25" customHeight="1" x14ac:dyDescent="0.2">
      <c r="A15" s="29">
        <v>44105</v>
      </c>
      <c r="B15" s="30"/>
      <c r="C15" s="24" t="s">
        <v>38</v>
      </c>
      <c r="D15" s="24"/>
      <c r="E15" s="24"/>
      <c r="F15" s="25">
        <v>281233</v>
      </c>
      <c r="G15" s="25" t="s">
        <v>71</v>
      </c>
      <c r="H15" s="31"/>
      <c r="I15" s="31"/>
      <c r="J15" s="31">
        <v>612.46</v>
      </c>
      <c r="K15" s="31"/>
      <c r="L15" s="32"/>
      <c r="M15" s="26">
        <f t="shared" ref="M15:M16" si="15">SUM(H15:J15,K15/1.12)</f>
        <v>612.46</v>
      </c>
      <c r="N15" s="26">
        <f t="shared" ref="N15:N16" si="16">K15/1.12*0.12</f>
        <v>0</v>
      </c>
      <c r="O15" s="26">
        <f t="shared" ref="O15:O16" si="17">-SUM(I15:J15,K15/1.12)*L15</f>
        <v>0</v>
      </c>
      <c r="P15" s="26">
        <v>612.46</v>
      </c>
      <c r="Q15" s="33"/>
      <c r="R15" s="33"/>
      <c r="S15" s="34"/>
      <c r="T15" s="34"/>
      <c r="U15" s="34"/>
      <c r="V15" s="34"/>
      <c r="W15" s="34"/>
      <c r="X15" s="33"/>
      <c r="Y15" s="33"/>
      <c r="Z15" s="33"/>
      <c r="AA15" s="33"/>
      <c r="AB15" s="34"/>
      <c r="AC15" s="34"/>
      <c r="AD15" s="33"/>
      <c r="AE15" s="33"/>
      <c r="AF15" s="26">
        <f t="shared" ref="AF15:AF16" si="18">-SUM(N15:AE15)</f>
        <v>-612.46</v>
      </c>
      <c r="AG15" s="27">
        <f t="shared" ref="AG15:AG16" si="19">SUM(H15:K15)+AF15+O15</f>
        <v>0</v>
      </c>
    </row>
    <row r="16" spans="1:33" s="11" customFormat="1" ht="23.25" customHeight="1" x14ac:dyDescent="0.2">
      <c r="A16" s="29">
        <v>44105</v>
      </c>
      <c r="B16" s="30"/>
      <c r="C16" s="24" t="s">
        <v>43</v>
      </c>
      <c r="D16" s="24"/>
      <c r="E16" s="24"/>
      <c r="F16" s="25"/>
      <c r="G16" s="25" t="s">
        <v>72</v>
      </c>
      <c r="H16" s="31">
        <v>80</v>
      </c>
      <c r="I16" s="31"/>
      <c r="J16" s="31"/>
      <c r="K16" s="31"/>
      <c r="L16" s="32"/>
      <c r="M16" s="26">
        <f t="shared" si="15"/>
        <v>80</v>
      </c>
      <c r="N16" s="26">
        <f t="shared" si="16"/>
        <v>0</v>
      </c>
      <c r="O16" s="26">
        <f t="shared" si="17"/>
        <v>0</v>
      </c>
      <c r="P16" s="26"/>
      <c r="Q16" s="33"/>
      <c r="R16" s="33"/>
      <c r="S16" s="34"/>
      <c r="T16" s="34"/>
      <c r="U16" s="34"/>
      <c r="V16" s="34"/>
      <c r="W16" s="34"/>
      <c r="X16" s="33"/>
      <c r="Y16" s="33"/>
      <c r="Z16" s="33"/>
      <c r="AA16" s="33">
        <v>80</v>
      </c>
      <c r="AB16" s="34"/>
      <c r="AC16" s="34"/>
      <c r="AD16" s="33"/>
      <c r="AE16" s="33"/>
      <c r="AF16" s="26">
        <f t="shared" si="18"/>
        <v>-80</v>
      </c>
      <c r="AG16" s="27">
        <f t="shared" si="19"/>
        <v>0</v>
      </c>
    </row>
    <row r="17" spans="1:33" s="11" customFormat="1" ht="23.25" customHeight="1" x14ac:dyDescent="0.2">
      <c r="A17" s="29">
        <v>44106</v>
      </c>
      <c r="B17" s="30"/>
      <c r="C17" s="24" t="s">
        <v>75</v>
      </c>
      <c r="D17" s="24"/>
      <c r="E17" s="24"/>
      <c r="F17" s="25">
        <v>1089996</v>
      </c>
      <c r="G17" s="25" t="s">
        <v>76</v>
      </c>
      <c r="H17" s="31"/>
      <c r="I17" s="31"/>
      <c r="J17" s="31"/>
      <c r="K17" s="31">
        <v>818.5</v>
      </c>
      <c r="L17" s="32"/>
      <c r="M17" s="26">
        <f t="shared" ref="M17:M19" si="20">SUM(H17:J17,K17/1.12)</f>
        <v>730.80357142857133</v>
      </c>
      <c r="N17" s="26">
        <f t="shared" ref="N17:N19" si="21">K17/1.12*0.12</f>
        <v>87.696428571428555</v>
      </c>
      <c r="O17" s="26">
        <f t="shared" ref="O17:O19" si="22">-SUM(I17:J17,K17/1.12)*L17</f>
        <v>0</v>
      </c>
      <c r="P17" s="26"/>
      <c r="Q17" s="33">
        <v>730.8</v>
      </c>
      <c r="R17" s="33"/>
      <c r="S17" s="34"/>
      <c r="T17" s="34"/>
      <c r="U17" s="34"/>
      <c r="V17" s="34"/>
      <c r="W17" s="34"/>
      <c r="X17" s="33"/>
      <c r="Y17" s="33"/>
      <c r="Z17" s="33"/>
      <c r="AA17" s="33"/>
      <c r="AB17" s="34"/>
      <c r="AC17" s="34"/>
      <c r="AD17" s="33"/>
      <c r="AE17" s="33"/>
      <c r="AF17" s="26">
        <f t="shared" ref="AF17:AF19" si="23">-SUM(N17:AE17)</f>
        <v>-818.49642857142851</v>
      </c>
      <c r="AG17" s="27">
        <f t="shared" ref="AG17:AG19" si="24">SUM(H17:K17)+AF17+O17</f>
        <v>3.5714285714902871E-3</v>
      </c>
    </row>
    <row r="18" spans="1:33" s="11" customFormat="1" ht="23.25" customHeight="1" x14ac:dyDescent="0.2">
      <c r="A18" s="29">
        <v>44106</v>
      </c>
      <c r="B18" s="30"/>
      <c r="C18" s="24" t="s">
        <v>38</v>
      </c>
      <c r="D18" s="24"/>
      <c r="E18" s="24"/>
      <c r="F18" s="25">
        <v>139506</v>
      </c>
      <c r="G18" s="25" t="s">
        <v>77</v>
      </c>
      <c r="H18" s="31"/>
      <c r="I18" s="31"/>
      <c r="J18" s="31"/>
      <c r="K18" s="31">
        <v>2550.8000000000002</v>
      </c>
      <c r="L18" s="32"/>
      <c r="M18" s="26">
        <f t="shared" si="20"/>
        <v>2277.5</v>
      </c>
      <c r="N18" s="26">
        <f t="shared" si="21"/>
        <v>273.3</v>
      </c>
      <c r="O18" s="26">
        <f t="shared" si="22"/>
        <v>0</v>
      </c>
      <c r="P18" s="26">
        <v>2277.5</v>
      </c>
      <c r="Q18" s="33"/>
      <c r="R18" s="33"/>
      <c r="S18" s="34"/>
      <c r="T18" s="34"/>
      <c r="U18" s="34"/>
      <c r="V18" s="34"/>
      <c r="W18" s="34"/>
      <c r="X18" s="33"/>
      <c r="Y18" s="33"/>
      <c r="Z18" s="33"/>
      <c r="AA18" s="33"/>
      <c r="AB18" s="34"/>
      <c r="AC18" s="34"/>
      <c r="AD18" s="33"/>
      <c r="AE18" s="33"/>
      <c r="AF18" s="26">
        <f t="shared" si="23"/>
        <v>-2550.8000000000002</v>
      </c>
      <c r="AG18" s="27">
        <f t="shared" si="24"/>
        <v>0</v>
      </c>
    </row>
    <row r="19" spans="1:33" s="11" customFormat="1" ht="23.25" customHeight="1" x14ac:dyDescent="0.2">
      <c r="A19" s="29">
        <v>44106</v>
      </c>
      <c r="B19" s="30"/>
      <c r="C19" s="24" t="s">
        <v>78</v>
      </c>
      <c r="D19" s="24"/>
      <c r="E19" s="24"/>
      <c r="F19" s="25"/>
      <c r="G19" s="25" t="s">
        <v>79</v>
      </c>
      <c r="H19" s="31">
        <v>100</v>
      </c>
      <c r="I19" s="31"/>
      <c r="J19" s="31"/>
      <c r="K19" s="31"/>
      <c r="L19" s="32"/>
      <c r="M19" s="26">
        <f t="shared" si="20"/>
        <v>100</v>
      </c>
      <c r="N19" s="26">
        <f t="shared" si="21"/>
        <v>0</v>
      </c>
      <c r="O19" s="26">
        <f t="shared" si="22"/>
        <v>0</v>
      </c>
      <c r="P19" s="26"/>
      <c r="Q19" s="33"/>
      <c r="R19" s="33"/>
      <c r="S19" s="34"/>
      <c r="T19" s="34"/>
      <c r="U19" s="34"/>
      <c r="V19" s="34"/>
      <c r="W19" s="34"/>
      <c r="X19" s="33"/>
      <c r="Y19" s="33"/>
      <c r="Z19" s="33"/>
      <c r="AA19" s="33">
        <v>100</v>
      </c>
      <c r="AB19" s="34"/>
      <c r="AC19" s="34"/>
      <c r="AD19" s="33"/>
      <c r="AE19" s="33"/>
      <c r="AF19" s="26">
        <f t="shared" si="23"/>
        <v>-100</v>
      </c>
      <c r="AG19" s="27">
        <f t="shared" si="24"/>
        <v>0</v>
      </c>
    </row>
    <row r="20" spans="1:33" s="11" customFormat="1" ht="23.25" customHeight="1" x14ac:dyDescent="0.2">
      <c r="A20" s="29"/>
      <c r="B20" s="30"/>
      <c r="C20" s="24"/>
      <c r="D20" s="24"/>
      <c r="E20" s="24"/>
      <c r="F20" s="25"/>
      <c r="G20" s="25"/>
      <c r="H20" s="31"/>
      <c r="I20" s="31"/>
      <c r="J20" s="31"/>
      <c r="K20" s="31"/>
      <c r="L20" s="32"/>
      <c r="M20" s="26">
        <f t="shared" ref="M20" si="25">SUM(H20:J20,K20/1.12)</f>
        <v>0</v>
      </c>
      <c r="N20" s="26">
        <f t="shared" ref="N20" si="26">K20/1.12*0.12</f>
        <v>0</v>
      </c>
      <c r="O20" s="26">
        <f t="shared" ref="O20" si="27">-SUM(I20:J20,K20/1.12)*L20</f>
        <v>0</v>
      </c>
      <c r="P20" s="26"/>
      <c r="Q20" s="33"/>
      <c r="R20" s="33"/>
      <c r="S20" s="34"/>
      <c r="T20" s="34"/>
      <c r="U20" s="34"/>
      <c r="V20" s="34"/>
      <c r="W20" s="34"/>
      <c r="X20" s="33"/>
      <c r="Y20" s="33"/>
      <c r="Z20" s="33"/>
      <c r="AA20" s="33"/>
      <c r="AB20" s="34"/>
      <c r="AC20" s="34"/>
      <c r="AD20" s="33"/>
      <c r="AE20" s="33"/>
      <c r="AF20" s="26">
        <f t="shared" ref="AF20:AF21" si="28">-SUM(N20:AE20)</f>
        <v>0</v>
      </c>
      <c r="AG20" s="27">
        <f t="shared" ref="AG20:AG21" si="29">SUM(H20:K20)+AF20+O20</f>
        <v>0</v>
      </c>
    </row>
    <row r="21" spans="1:33" s="11" customFormat="1" x14ac:dyDescent="0.2">
      <c r="A21" s="29"/>
      <c r="B21" s="30"/>
      <c r="C21" s="35"/>
      <c r="D21" s="35"/>
      <c r="E21" s="35"/>
      <c r="F21" s="25"/>
      <c r="G21" s="28"/>
      <c r="H21" s="31"/>
      <c r="I21" s="31"/>
      <c r="J21" s="31"/>
      <c r="K21" s="31"/>
      <c r="L21" s="32"/>
      <c r="M21" s="33">
        <f>SUM(H21:J21,K21/1.12)</f>
        <v>0</v>
      </c>
      <c r="N21" s="33">
        <f>K21/1.12*0.12</f>
        <v>0</v>
      </c>
      <c r="O21" s="33">
        <f>-SUM(I21:J21,K21/1.12)*L21</f>
        <v>0</v>
      </c>
      <c r="P21" s="33"/>
      <c r="Q21" s="33"/>
      <c r="R21" s="33"/>
      <c r="S21" s="33"/>
      <c r="T21" s="34"/>
      <c r="U21" s="34"/>
      <c r="V21" s="34"/>
      <c r="W21" s="34"/>
      <c r="X21" s="34"/>
      <c r="Y21" s="36"/>
      <c r="Z21" s="33"/>
      <c r="AA21" s="33"/>
      <c r="AB21" s="33"/>
      <c r="AC21" s="34"/>
      <c r="AD21" s="34"/>
      <c r="AE21" s="37"/>
      <c r="AF21" s="26">
        <f t="shared" si="28"/>
        <v>0</v>
      </c>
      <c r="AG21" s="27">
        <f t="shared" si="29"/>
        <v>0</v>
      </c>
    </row>
    <row r="22" spans="1:33" s="9" customFormat="1" ht="12" thickBot="1" x14ac:dyDescent="0.25">
      <c r="A22" s="38"/>
      <c r="B22" s="39"/>
      <c r="C22" s="40"/>
      <c r="D22" s="41"/>
      <c r="E22" s="41"/>
      <c r="F22" s="42"/>
      <c r="G22" s="40"/>
      <c r="H22" s="43">
        <f t="shared" ref="H22:AG22" si="30">SUM(H5:H21)</f>
        <v>280</v>
      </c>
      <c r="I22" s="43">
        <f t="shared" si="30"/>
        <v>0</v>
      </c>
      <c r="J22" s="43">
        <f t="shared" si="30"/>
        <v>2182.46</v>
      </c>
      <c r="K22" s="43">
        <f t="shared" si="30"/>
        <v>7138</v>
      </c>
      <c r="L22" s="43">
        <f t="shared" si="30"/>
        <v>0</v>
      </c>
      <c r="M22" s="43">
        <f t="shared" si="30"/>
        <v>8835.6742857142854</v>
      </c>
      <c r="N22" s="43">
        <f t="shared" si="30"/>
        <v>764.78571428571422</v>
      </c>
      <c r="O22" s="43">
        <f t="shared" si="30"/>
        <v>0</v>
      </c>
      <c r="P22" s="43">
        <f t="shared" si="30"/>
        <v>7503.67</v>
      </c>
      <c r="Q22" s="43">
        <f t="shared" si="30"/>
        <v>768.3</v>
      </c>
      <c r="R22" s="43">
        <f t="shared" si="30"/>
        <v>0</v>
      </c>
      <c r="S22" s="43">
        <f t="shared" si="30"/>
        <v>283.70999999999998</v>
      </c>
      <c r="T22" s="43">
        <f t="shared" si="30"/>
        <v>0</v>
      </c>
      <c r="U22" s="43">
        <f t="shared" si="30"/>
        <v>0</v>
      </c>
      <c r="V22" s="43">
        <f t="shared" si="30"/>
        <v>0</v>
      </c>
      <c r="W22" s="43">
        <f t="shared" si="30"/>
        <v>0</v>
      </c>
      <c r="X22" s="43">
        <f t="shared" si="30"/>
        <v>0</v>
      </c>
      <c r="Y22" s="43">
        <f t="shared" si="30"/>
        <v>0</v>
      </c>
      <c r="Z22" s="43">
        <f t="shared" si="30"/>
        <v>0</v>
      </c>
      <c r="AA22" s="43">
        <f t="shared" si="30"/>
        <v>280</v>
      </c>
      <c r="AB22" s="43">
        <f t="shared" si="30"/>
        <v>0</v>
      </c>
      <c r="AC22" s="43">
        <f t="shared" si="30"/>
        <v>0</v>
      </c>
      <c r="AD22" s="43">
        <f t="shared" si="30"/>
        <v>0</v>
      </c>
      <c r="AE22" s="43">
        <f t="shared" si="30"/>
        <v>0</v>
      </c>
      <c r="AF22" s="43">
        <f t="shared" si="30"/>
        <v>-9600.4657142857141</v>
      </c>
      <c r="AG22" s="43">
        <f t="shared" si="30"/>
        <v>-5.7142857142764569E-3</v>
      </c>
    </row>
    <row r="23" spans="1:33" s="81" customFormat="1" ht="12" thickTop="1" x14ac:dyDescent="0.2"/>
    <row r="24" spans="1:33" ht="12" x14ac:dyDescent="0.2">
      <c r="K24" s="44">
        <f>H22+I22+J22+K22</f>
        <v>9600.4599999999991</v>
      </c>
      <c r="L24" s="8"/>
      <c r="M24" s="7"/>
      <c r="AF24" s="45">
        <f>+AF22</f>
        <v>-9600.4657142857141</v>
      </c>
    </row>
    <row r="25" spans="1:33" ht="12" x14ac:dyDescent="0.2">
      <c r="K25" s="44"/>
      <c r="L25" s="8"/>
      <c r="M25" s="7"/>
      <c r="AF25" s="45"/>
    </row>
    <row r="26" spans="1:33" ht="12" x14ac:dyDescent="0.2">
      <c r="K26" s="44"/>
      <c r="L26" s="8"/>
      <c r="M26" s="7"/>
      <c r="AF26" s="45"/>
    </row>
    <row r="27" spans="1:33" x14ac:dyDescent="0.2">
      <c r="K27" s="7"/>
      <c r="L27" s="8"/>
      <c r="M27" s="7"/>
    </row>
    <row r="28" spans="1:33" ht="12.75" x14ac:dyDescent="0.2">
      <c r="C28" s="46" t="s">
        <v>41</v>
      </c>
      <c r="G28" s="9"/>
      <c r="J28" s="48" t="s">
        <v>48</v>
      </c>
      <c r="K28" s="50" t="e">
        <f>#REF!+#REF!+#REF!+#REF!+#REF!+#REF!+J6+J7+J8+K9+K10+K11+K13+K14+J15+K17+K18</f>
        <v>#REF!</v>
      </c>
      <c r="L28" s="47"/>
      <c r="M28" s="47"/>
      <c r="N28" s="45" t="s">
        <v>73</v>
      </c>
      <c r="O28" s="45"/>
      <c r="P28" s="45"/>
      <c r="Q28" s="45" t="e">
        <f>#REF!+#REF!+#REF!+J6+J7+J8+K9</f>
        <v>#REF!</v>
      </c>
    </row>
    <row r="29" spans="1:33" ht="12.75" x14ac:dyDescent="0.2">
      <c r="C29" s="46"/>
      <c r="G29" s="9"/>
      <c r="J29" s="48" t="s">
        <v>53</v>
      </c>
      <c r="K29" s="50">
        <f>K12</f>
        <v>317.75</v>
      </c>
      <c r="L29" s="47"/>
      <c r="M29" s="47"/>
      <c r="N29" s="45" t="s">
        <v>74</v>
      </c>
      <c r="O29" s="45"/>
      <c r="P29" s="45"/>
      <c r="Q29" s="45" t="e">
        <f>Q28/2</f>
        <v>#REF!</v>
      </c>
    </row>
    <row r="30" spans="1:33" ht="12.75" x14ac:dyDescent="0.2">
      <c r="J30" s="48" t="s">
        <v>49</v>
      </c>
      <c r="K30" s="49">
        <v>0</v>
      </c>
      <c r="L30" s="8"/>
      <c r="M30" s="7"/>
    </row>
    <row r="31" spans="1:33" ht="12.75" x14ac:dyDescent="0.2">
      <c r="J31" s="48" t="s">
        <v>50</v>
      </c>
      <c r="K31" s="49" t="e">
        <f>#REF!+H5+H16+H19</f>
        <v>#REF!</v>
      </c>
      <c r="L31" s="8"/>
      <c r="M31" s="7"/>
    </row>
    <row r="32" spans="1:33" ht="12.75" x14ac:dyDescent="0.2">
      <c r="A32" s="1"/>
      <c r="B32" s="1"/>
      <c r="D32" s="1"/>
      <c r="E32" s="1"/>
      <c r="F32" s="1"/>
      <c r="H32" s="1"/>
      <c r="I32" s="1"/>
      <c r="J32" s="51" t="s">
        <v>51</v>
      </c>
      <c r="K32" s="52" t="e">
        <f>K28+K29+K30+K31</f>
        <v>#REF!</v>
      </c>
      <c r="L32" s="8"/>
      <c r="M32" s="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Z32" s="1"/>
      <c r="AA32" s="1"/>
      <c r="AB32" s="1"/>
      <c r="AC32" s="1"/>
      <c r="AD32" s="1"/>
      <c r="AE32" s="1"/>
      <c r="AF32" s="1"/>
    </row>
    <row r="34" spans="1:32" ht="12" x14ac:dyDescent="0.2">
      <c r="H34" s="45"/>
      <c r="I34" s="45"/>
      <c r="J34" s="45"/>
      <c r="K34" s="45"/>
      <c r="M34" s="7"/>
    </row>
    <row r="35" spans="1:32" ht="12" x14ac:dyDescent="0.2">
      <c r="H35" s="54" t="s">
        <v>80</v>
      </c>
      <c r="I35" s="54"/>
      <c r="J35" s="54"/>
      <c r="K35" s="54"/>
    </row>
    <row r="36" spans="1:32" ht="12" x14ac:dyDescent="0.2">
      <c r="H36" s="54"/>
      <c r="I36" s="54"/>
      <c r="J36" s="54"/>
      <c r="K36" s="54"/>
    </row>
    <row r="37" spans="1:32" ht="12" x14ac:dyDescent="0.2">
      <c r="H37" s="54" t="s">
        <v>81</v>
      </c>
      <c r="I37" s="54"/>
      <c r="J37" s="54"/>
      <c r="K37" s="54"/>
    </row>
    <row r="38" spans="1:32" ht="12" x14ac:dyDescent="0.2">
      <c r="H38" s="54" t="s">
        <v>83</v>
      </c>
      <c r="I38" s="54"/>
      <c r="J38" s="54"/>
      <c r="K38" s="54"/>
    </row>
    <row r="39" spans="1:32" ht="12" x14ac:dyDescent="0.2">
      <c r="H39" s="54" t="s">
        <v>85</v>
      </c>
      <c r="I39" s="54"/>
      <c r="J39" s="54"/>
      <c r="K39" s="54"/>
      <c r="Q39" s="2">
        <v>0</v>
      </c>
    </row>
    <row r="40" spans="1:32" ht="12" x14ac:dyDescent="0.2">
      <c r="A40" s="1"/>
      <c r="B40" s="1"/>
      <c r="D40" s="1"/>
      <c r="E40" s="1"/>
      <c r="F40" s="1"/>
      <c r="H40" s="55"/>
      <c r="I40" s="55"/>
      <c r="J40" s="55"/>
      <c r="K40" s="55"/>
      <c r="L40" s="1"/>
      <c r="M40" s="1"/>
      <c r="N40" s="1"/>
      <c r="O40" s="1"/>
      <c r="P40" s="1"/>
      <c r="Q40" s="1"/>
      <c r="R40" s="1"/>
      <c r="S40" s="1"/>
      <c r="Z40" s="1"/>
      <c r="AA40" s="1"/>
      <c r="AB40" s="1"/>
      <c r="AC40" s="1"/>
      <c r="AD40" s="1"/>
      <c r="AE40" s="1"/>
      <c r="AF40" s="1"/>
    </row>
    <row r="41" spans="1:32" ht="12" x14ac:dyDescent="0.2">
      <c r="H41" s="54" t="s">
        <v>84</v>
      </c>
      <c r="I41" s="54"/>
      <c r="J41" s="54"/>
      <c r="K41" s="54"/>
    </row>
    <row r="42" spans="1:32" ht="12" x14ac:dyDescent="0.2">
      <c r="H42" s="54">
        <v>19969.96</v>
      </c>
      <c r="I42" s="54"/>
      <c r="J42" s="54" t="s">
        <v>82</v>
      </c>
      <c r="K42" s="54"/>
    </row>
    <row r="43" spans="1:32" ht="12" x14ac:dyDescent="0.2">
      <c r="H43" s="54">
        <v>30.04</v>
      </c>
      <c r="I43" s="54"/>
      <c r="J43" s="54" t="s">
        <v>42</v>
      </c>
      <c r="K43" s="54"/>
    </row>
    <row r="44" spans="1:32" ht="12" x14ac:dyDescent="0.2">
      <c r="H44" s="54"/>
      <c r="I44" s="54"/>
      <c r="J44" s="54"/>
      <c r="K44" s="54"/>
    </row>
  </sheetData>
  <mergeCells count="1">
    <mergeCell ref="A23:XFD23"/>
  </mergeCells>
  <pageMargins left="0.7" right="0.7" top="0.75" bottom="0.75" header="0.3" footer="0.3"/>
  <pageSetup paperSize="5" scale="9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topLeftCell="A10" workbookViewId="0">
      <selection activeCell="C17" sqref="C17"/>
    </sheetView>
  </sheetViews>
  <sheetFormatPr defaultRowHeight="11.25" x14ac:dyDescent="0.2"/>
  <cols>
    <col min="1" max="1" width="8.140625" style="56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9.140625" style="2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customWidth="1"/>
    <col min="13" max="13" width="9.7109375" style="2" customWidth="1"/>
    <col min="14" max="14" width="8.5703125" style="2" customWidth="1"/>
    <col min="15" max="15" width="9" style="2" customWidth="1"/>
    <col min="16" max="16" width="9.85546875" style="2" customWidth="1"/>
    <col min="17" max="17" width="10.85546875" style="2" customWidth="1"/>
    <col min="18" max="18" width="10.7109375" style="2" hidden="1" customWidth="1"/>
    <col min="19" max="19" width="9.5703125" style="2" hidden="1" customWidth="1"/>
    <col min="20" max="21" width="9.140625" style="2" customWidth="1"/>
    <col min="22" max="22" width="8.140625" style="2" hidden="1" customWidth="1"/>
    <col min="23" max="23" width="9.85546875" style="2" hidden="1" customWidth="1"/>
    <col min="24" max="24" width="9.28515625" style="2" hidden="1" customWidth="1"/>
    <col min="25" max="25" width="8.28515625" style="2" hidden="1" customWidth="1"/>
    <col min="26" max="26" width="8.7109375" style="2" customWidth="1"/>
    <col min="27" max="27" width="9.5703125" style="2" hidden="1" customWidth="1"/>
    <col min="28" max="29" width="8" style="2" hidden="1" customWidth="1"/>
    <col min="30" max="30" width="10.140625" style="2" hidden="1" customWidth="1"/>
    <col min="31" max="31" width="10.7109375" style="2" customWidth="1"/>
    <col min="32" max="32" width="7.7109375" style="1" customWidth="1"/>
    <col min="33" max="60" width="0" style="1" hidden="1" customWidth="1"/>
    <col min="61" max="16384" width="9.140625" style="1"/>
  </cols>
  <sheetData>
    <row r="1" spans="1:32" ht="12" customHeight="1" x14ac:dyDescent="0.2">
      <c r="A1" s="12" t="s">
        <v>30</v>
      </c>
      <c r="C1" s="13"/>
    </row>
    <row r="2" spans="1:32" ht="12" customHeight="1" x14ac:dyDescent="0.2">
      <c r="A2" s="12" t="s">
        <v>26</v>
      </c>
    </row>
    <row r="3" spans="1:32" ht="12" customHeight="1" x14ac:dyDescent="0.2">
      <c r="A3" s="12" t="s">
        <v>86</v>
      </c>
      <c r="B3" s="13"/>
      <c r="C3" s="14"/>
      <c r="N3" s="15">
        <v>1301</v>
      </c>
      <c r="O3" s="15">
        <v>2402</v>
      </c>
      <c r="P3" s="15">
        <v>5001</v>
      </c>
      <c r="Q3" s="15">
        <v>5002</v>
      </c>
      <c r="R3" s="15">
        <v>6220</v>
      </c>
      <c r="S3" s="15">
        <v>6219</v>
      </c>
      <c r="T3" s="15">
        <v>6212</v>
      </c>
      <c r="U3" s="15"/>
      <c r="V3" s="15"/>
      <c r="W3" s="15"/>
      <c r="X3" s="15" t="s">
        <v>25</v>
      </c>
      <c r="Y3" s="15"/>
      <c r="Z3" s="15">
        <v>6230</v>
      </c>
      <c r="AA3" s="15" t="s">
        <v>24</v>
      </c>
      <c r="AB3" s="15">
        <v>6202</v>
      </c>
      <c r="AC3" s="15"/>
      <c r="AD3" s="15">
        <v>6109</v>
      </c>
      <c r="AE3" s="15">
        <v>1002</v>
      </c>
    </row>
    <row r="4" spans="1:32" s="10" customFormat="1" ht="44.25" customHeight="1" x14ac:dyDescent="0.25">
      <c r="A4" s="16" t="s">
        <v>23</v>
      </c>
      <c r="B4" s="17" t="s">
        <v>22</v>
      </c>
      <c r="C4" s="18" t="s">
        <v>21</v>
      </c>
      <c r="D4" s="18" t="s">
        <v>20</v>
      </c>
      <c r="E4" s="18" t="s">
        <v>27</v>
      </c>
      <c r="F4" s="18" t="s">
        <v>19</v>
      </c>
      <c r="G4" s="18" t="s">
        <v>18</v>
      </c>
      <c r="H4" s="18" t="s">
        <v>17</v>
      </c>
      <c r="I4" s="18" t="s">
        <v>16</v>
      </c>
      <c r="J4" s="18" t="s">
        <v>15</v>
      </c>
      <c r="K4" s="18" t="s">
        <v>14</v>
      </c>
      <c r="L4" s="19" t="s">
        <v>13</v>
      </c>
      <c r="M4" s="18" t="s">
        <v>12</v>
      </c>
      <c r="N4" s="20" t="s">
        <v>11</v>
      </c>
      <c r="O4" s="20" t="s">
        <v>10</v>
      </c>
      <c r="P4" s="20" t="s">
        <v>9</v>
      </c>
      <c r="Q4" s="20" t="s">
        <v>8</v>
      </c>
      <c r="R4" s="20" t="s">
        <v>31</v>
      </c>
      <c r="S4" s="20" t="s">
        <v>52</v>
      </c>
      <c r="T4" s="20" t="s">
        <v>7</v>
      </c>
      <c r="U4" s="20" t="s">
        <v>28</v>
      </c>
      <c r="V4" s="20" t="s">
        <v>33</v>
      </c>
      <c r="W4" s="20" t="s">
        <v>34</v>
      </c>
      <c r="X4" s="20" t="s">
        <v>6</v>
      </c>
      <c r="Y4" s="20" t="s">
        <v>29</v>
      </c>
      <c r="Z4" s="20" t="s">
        <v>5</v>
      </c>
      <c r="AA4" s="20" t="s">
        <v>4</v>
      </c>
      <c r="AB4" s="21" t="s">
        <v>3</v>
      </c>
      <c r="AC4" s="20" t="s">
        <v>1</v>
      </c>
      <c r="AD4" s="22" t="s">
        <v>2</v>
      </c>
      <c r="AE4" s="23" t="s">
        <v>0</v>
      </c>
    </row>
    <row r="5" spans="1:32" s="11" customFormat="1" ht="24.75" customHeight="1" x14ac:dyDescent="0.2">
      <c r="A5" s="29">
        <v>44106</v>
      </c>
      <c r="B5" s="30"/>
      <c r="C5" s="24" t="s">
        <v>87</v>
      </c>
      <c r="D5" s="24" t="s">
        <v>88</v>
      </c>
      <c r="E5" s="24" t="s">
        <v>89</v>
      </c>
      <c r="F5" s="25"/>
      <c r="G5" s="25" t="s">
        <v>90</v>
      </c>
      <c r="H5" s="31"/>
      <c r="I5" s="31"/>
      <c r="J5" s="31"/>
      <c r="K5" s="31">
        <v>125</v>
      </c>
      <c r="L5" s="32"/>
      <c r="M5" s="26">
        <f t="shared" ref="M5:M21" si="0">SUM(H5:J5,K5/1.12)</f>
        <v>111.60714285714285</v>
      </c>
      <c r="N5" s="26">
        <f t="shared" ref="N5:N21" si="1">K5/1.12*0.12</f>
        <v>13.392857142857141</v>
      </c>
      <c r="O5" s="26">
        <f t="shared" ref="O5:O21" si="2">-SUM(I5:J5,K5/1.12)*L5</f>
        <v>0</v>
      </c>
      <c r="P5" s="26"/>
      <c r="Q5" s="33">
        <v>111.61</v>
      </c>
      <c r="R5" s="33"/>
      <c r="S5" s="34"/>
      <c r="T5" s="34"/>
      <c r="U5" s="34"/>
      <c r="V5" s="34"/>
      <c r="W5" s="33"/>
      <c r="X5" s="33"/>
      <c r="Y5" s="33"/>
      <c r="Z5" s="33"/>
      <c r="AA5" s="34"/>
      <c r="AB5" s="34"/>
      <c r="AC5" s="33"/>
      <c r="AD5" s="33"/>
      <c r="AE5" s="26">
        <f t="shared" ref="AE5:AE22" si="3">-SUM(N5:AD5)</f>
        <v>-125.00285714285714</v>
      </c>
      <c r="AF5" s="27">
        <f t="shared" ref="AF5:AF22" si="4">SUM(H5:K5)+AE5+O5</f>
        <v>-2.8571428571382285E-3</v>
      </c>
    </row>
    <row r="6" spans="1:32" s="11" customFormat="1" ht="23.25" customHeight="1" x14ac:dyDescent="0.2">
      <c r="A6" s="29">
        <v>44109</v>
      </c>
      <c r="B6" s="30"/>
      <c r="C6" s="24" t="s">
        <v>91</v>
      </c>
      <c r="D6" s="24" t="s">
        <v>92</v>
      </c>
      <c r="E6" s="24" t="s">
        <v>93</v>
      </c>
      <c r="F6" s="25"/>
      <c r="G6" s="25" t="s">
        <v>94</v>
      </c>
      <c r="H6" s="31"/>
      <c r="I6" s="31"/>
      <c r="J6" s="31"/>
      <c r="K6" s="31">
        <v>303.5</v>
      </c>
      <c r="L6" s="32"/>
      <c r="M6" s="26">
        <f t="shared" si="0"/>
        <v>270.98214285714283</v>
      </c>
      <c r="N6" s="26">
        <f t="shared" si="1"/>
        <v>32.517857142857139</v>
      </c>
      <c r="O6" s="26">
        <f t="shared" si="2"/>
        <v>0</v>
      </c>
      <c r="P6" s="26"/>
      <c r="Q6" s="33"/>
      <c r="R6" s="33"/>
      <c r="S6" s="34"/>
      <c r="T6" s="34">
        <v>270.98</v>
      </c>
      <c r="U6" s="34"/>
      <c r="V6" s="34"/>
      <c r="W6" s="33"/>
      <c r="X6" s="33"/>
      <c r="Y6" s="33"/>
      <c r="Z6" s="33"/>
      <c r="AA6" s="34"/>
      <c r="AB6" s="34"/>
      <c r="AC6" s="33"/>
      <c r="AD6" s="33"/>
      <c r="AE6" s="26">
        <f t="shared" si="3"/>
        <v>-303.49785714285713</v>
      </c>
      <c r="AF6" s="27">
        <f t="shared" si="4"/>
        <v>2.1428571428714349E-3</v>
      </c>
    </row>
    <row r="7" spans="1:32" s="11" customFormat="1" ht="23.25" customHeight="1" x14ac:dyDescent="0.2">
      <c r="A7" s="29">
        <v>44109</v>
      </c>
      <c r="B7" s="30"/>
      <c r="C7" s="24" t="s">
        <v>95</v>
      </c>
      <c r="D7" s="24" t="s">
        <v>96</v>
      </c>
      <c r="E7" s="24" t="s">
        <v>93</v>
      </c>
      <c r="F7" s="25"/>
      <c r="G7" s="25" t="s">
        <v>97</v>
      </c>
      <c r="H7" s="31"/>
      <c r="I7" s="31"/>
      <c r="J7" s="31"/>
      <c r="K7" s="31">
        <v>117</v>
      </c>
      <c r="L7" s="32"/>
      <c r="M7" s="26">
        <f t="shared" si="0"/>
        <v>104.46428571428571</v>
      </c>
      <c r="N7" s="26">
        <f t="shared" si="1"/>
        <v>12.535714285714285</v>
      </c>
      <c r="O7" s="26">
        <f t="shared" si="2"/>
        <v>0</v>
      </c>
      <c r="P7" s="26">
        <v>104.46</v>
      </c>
      <c r="Q7" s="33"/>
      <c r="R7" s="33"/>
      <c r="S7" s="34"/>
      <c r="T7" s="34"/>
      <c r="U7" s="34"/>
      <c r="V7" s="34"/>
      <c r="W7" s="33"/>
      <c r="X7" s="33"/>
      <c r="Y7" s="33"/>
      <c r="Z7" s="33"/>
      <c r="AA7" s="34"/>
      <c r="AB7" s="34"/>
      <c r="AC7" s="33"/>
      <c r="AD7" s="33"/>
      <c r="AE7" s="26">
        <f t="shared" si="3"/>
        <v>-116.99571428571429</v>
      </c>
      <c r="AF7" s="27">
        <f t="shared" si="4"/>
        <v>4.2857142857144481E-3</v>
      </c>
    </row>
    <row r="8" spans="1:32" s="11" customFormat="1" ht="23.25" customHeight="1" x14ac:dyDescent="0.2">
      <c r="A8" s="29">
        <v>44109</v>
      </c>
      <c r="B8" s="30"/>
      <c r="C8" s="24" t="s">
        <v>95</v>
      </c>
      <c r="D8" s="24" t="s">
        <v>96</v>
      </c>
      <c r="E8" s="24" t="s">
        <v>93</v>
      </c>
      <c r="F8" s="25"/>
      <c r="G8" s="25" t="s">
        <v>46</v>
      </c>
      <c r="H8" s="31"/>
      <c r="I8" s="31"/>
      <c r="J8" s="31"/>
      <c r="K8" s="31">
        <v>158</v>
      </c>
      <c r="L8" s="32"/>
      <c r="M8" s="26">
        <f t="shared" si="0"/>
        <v>141.07142857142856</v>
      </c>
      <c r="N8" s="26">
        <f t="shared" si="1"/>
        <v>16.928571428571427</v>
      </c>
      <c r="O8" s="26">
        <f t="shared" si="2"/>
        <v>0</v>
      </c>
      <c r="P8" s="26"/>
      <c r="Q8" s="33"/>
      <c r="R8" s="33"/>
      <c r="S8" s="34"/>
      <c r="T8" s="34"/>
      <c r="U8" s="34">
        <v>141.07</v>
      </c>
      <c r="V8" s="34"/>
      <c r="W8" s="33"/>
      <c r="X8" s="33"/>
      <c r="Y8" s="33"/>
      <c r="Z8" s="33"/>
      <c r="AA8" s="34"/>
      <c r="AB8" s="34"/>
      <c r="AC8" s="33"/>
      <c r="AD8" s="33"/>
      <c r="AE8" s="26">
        <f t="shared" si="3"/>
        <v>-157.99857142857141</v>
      </c>
      <c r="AF8" s="27">
        <f t="shared" si="4"/>
        <v>1.4285714285904305E-3</v>
      </c>
    </row>
    <row r="9" spans="1:32" s="11" customFormat="1" ht="23.25" customHeight="1" x14ac:dyDescent="0.2">
      <c r="A9" s="29">
        <v>44109</v>
      </c>
      <c r="B9" s="30"/>
      <c r="C9" s="24" t="s">
        <v>38</v>
      </c>
      <c r="D9" s="24" t="s">
        <v>39</v>
      </c>
      <c r="E9" s="24" t="s">
        <v>40</v>
      </c>
      <c r="F9" s="25"/>
      <c r="G9" s="25" t="s">
        <v>98</v>
      </c>
      <c r="H9" s="31"/>
      <c r="I9" s="31"/>
      <c r="J9" s="31"/>
      <c r="K9" s="31">
        <v>170.6</v>
      </c>
      <c r="L9" s="32"/>
      <c r="M9" s="26">
        <f t="shared" si="0"/>
        <v>152.32142857142856</v>
      </c>
      <c r="N9" s="26">
        <f t="shared" si="1"/>
        <v>18.278571428571425</v>
      </c>
      <c r="O9" s="26">
        <f t="shared" si="2"/>
        <v>0</v>
      </c>
      <c r="P9" s="26">
        <v>152.32</v>
      </c>
      <c r="Q9" s="33"/>
      <c r="R9" s="33"/>
      <c r="S9" s="34"/>
      <c r="T9" s="34"/>
      <c r="U9" s="34"/>
      <c r="V9" s="34"/>
      <c r="W9" s="33"/>
      <c r="X9" s="33"/>
      <c r="Y9" s="33"/>
      <c r="Z9" s="33"/>
      <c r="AA9" s="34"/>
      <c r="AB9" s="34"/>
      <c r="AC9" s="33"/>
      <c r="AD9" s="33"/>
      <c r="AE9" s="26">
        <f t="shared" si="3"/>
        <v>-170.5985714285714</v>
      </c>
      <c r="AF9" s="27">
        <f t="shared" si="4"/>
        <v>1.4285714285904305E-3</v>
      </c>
    </row>
    <row r="10" spans="1:32" s="11" customFormat="1" ht="23.25" customHeight="1" x14ac:dyDescent="0.2">
      <c r="A10" s="29">
        <v>44109</v>
      </c>
      <c r="B10" s="30"/>
      <c r="C10" s="24" t="s">
        <v>38</v>
      </c>
      <c r="D10" s="24" t="s">
        <v>39</v>
      </c>
      <c r="E10" s="24" t="s">
        <v>40</v>
      </c>
      <c r="F10" s="25"/>
      <c r="G10" s="25" t="s">
        <v>44</v>
      </c>
      <c r="H10" s="31"/>
      <c r="I10" s="31"/>
      <c r="J10" s="31"/>
      <c r="K10" s="31">
        <v>4590</v>
      </c>
      <c r="L10" s="32"/>
      <c r="M10" s="26">
        <f t="shared" si="0"/>
        <v>4098.2142857142853</v>
      </c>
      <c r="N10" s="26">
        <f t="shared" si="1"/>
        <v>491.78571428571422</v>
      </c>
      <c r="O10" s="26">
        <f t="shared" si="2"/>
        <v>0</v>
      </c>
      <c r="P10" s="26">
        <v>4098.21</v>
      </c>
      <c r="Q10" s="33"/>
      <c r="R10" s="33"/>
      <c r="S10" s="34"/>
      <c r="T10" s="34"/>
      <c r="U10" s="34"/>
      <c r="V10" s="34"/>
      <c r="W10" s="33"/>
      <c r="X10" s="33"/>
      <c r="Y10" s="33"/>
      <c r="Z10" s="33"/>
      <c r="AA10" s="34"/>
      <c r="AB10" s="34"/>
      <c r="AC10" s="33"/>
      <c r="AD10" s="33"/>
      <c r="AE10" s="26">
        <f t="shared" si="3"/>
        <v>-4589.9957142857147</v>
      </c>
      <c r="AF10" s="27">
        <f t="shared" si="4"/>
        <v>4.2857142852881225E-3</v>
      </c>
    </row>
    <row r="11" spans="1:32" s="11" customFormat="1" ht="23.25" customHeight="1" x14ac:dyDescent="0.2">
      <c r="A11" s="29">
        <v>44109</v>
      </c>
      <c r="B11" s="30"/>
      <c r="C11" s="24" t="s">
        <v>38</v>
      </c>
      <c r="D11" s="24" t="s">
        <v>39</v>
      </c>
      <c r="E11" s="24" t="s">
        <v>40</v>
      </c>
      <c r="F11" s="25"/>
      <c r="G11" s="25" t="s">
        <v>99</v>
      </c>
      <c r="H11" s="31"/>
      <c r="I11" s="31"/>
      <c r="J11" s="31">
        <v>47.75</v>
      </c>
      <c r="K11" s="31"/>
      <c r="L11" s="32"/>
      <c r="M11" s="26">
        <f t="shared" si="0"/>
        <v>47.75</v>
      </c>
      <c r="N11" s="26">
        <f t="shared" si="1"/>
        <v>0</v>
      </c>
      <c r="O11" s="26">
        <f t="shared" si="2"/>
        <v>0</v>
      </c>
      <c r="P11" s="26">
        <v>47.75</v>
      </c>
      <c r="Q11" s="33"/>
      <c r="R11" s="33"/>
      <c r="S11" s="34"/>
      <c r="T11" s="34"/>
      <c r="U11" s="34"/>
      <c r="V11" s="34"/>
      <c r="W11" s="33"/>
      <c r="X11" s="33"/>
      <c r="Y11" s="33"/>
      <c r="Z11" s="33"/>
      <c r="AA11" s="34"/>
      <c r="AB11" s="34"/>
      <c r="AC11" s="33"/>
      <c r="AD11" s="33"/>
      <c r="AE11" s="26">
        <f t="shared" si="3"/>
        <v>-47.75</v>
      </c>
      <c r="AF11" s="27">
        <f t="shared" si="4"/>
        <v>0</v>
      </c>
    </row>
    <row r="12" spans="1:32" s="11" customFormat="1" ht="23.25" customHeight="1" x14ac:dyDescent="0.2">
      <c r="A12" s="29">
        <v>44109</v>
      </c>
      <c r="B12" s="30"/>
      <c r="C12" s="24" t="s">
        <v>43</v>
      </c>
      <c r="D12" s="24"/>
      <c r="E12" s="24"/>
      <c r="F12" s="25"/>
      <c r="G12" s="25" t="s">
        <v>100</v>
      </c>
      <c r="H12" s="31">
        <v>100</v>
      </c>
      <c r="I12" s="31"/>
      <c r="J12" s="31"/>
      <c r="K12" s="31"/>
      <c r="L12" s="32"/>
      <c r="M12" s="26">
        <f t="shared" si="0"/>
        <v>100</v>
      </c>
      <c r="N12" s="26">
        <f t="shared" si="1"/>
        <v>0</v>
      </c>
      <c r="O12" s="26">
        <f t="shared" si="2"/>
        <v>0</v>
      </c>
      <c r="P12" s="26"/>
      <c r="Q12" s="33"/>
      <c r="R12" s="33"/>
      <c r="S12" s="34"/>
      <c r="T12" s="34"/>
      <c r="U12" s="34"/>
      <c r="V12" s="34"/>
      <c r="W12" s="33"/>
      <c r="X12" s="33"/>
      <c r="Y12" s="33"/>
      <c r="Z12" s="33">
        <v>100</v>
      </c>
      <c r="AA12" s="34"/>
      <c r="AB12" s="34"/>
      <c r="AC12" s="33"/>
      <c r="AD12" s="33"/>
      <c r="AE12" s="26">
        <f t="shared" si="3"/>
        <v>-100</v>
      </c>
      <c r="AF12" s="27">
        <f t="shared" si="4"/>
        <v>0</v>
      </c>
    </row>
    <row r="13" spans="1:32" s="11" customFormat="1" ht="23.25" customHeight="1" x14ac:dyDescent="0.2">
      <c r="A13" s="29">
        <v>44109</v>
      </c>
      <c r="B13" s="30"/>
      <c r="C13" s="24" t="s">
        <v>64</v>
      </c>
      <c r="D13" s="24" t="s">
        <v>101</v>
      </c>
      <c r="E13" s="24" t="s">
        <v>102</v>
      </c>
      <c r="F13" s="25"/>
      <c r="G13" s="25" t="s">
        <v>103</v>
      </c>
      <c r="H13" s="31"/>
      <c r="I13" s="31"/>
      <c r="J13" s="31"/>
      <c r="K13" s="31">
        <v>440</v>
      </c>
      <c r="L13" s="32"/>
      <c r="M13" s="26">
        <f t="shared" si="0"/>
        <v>392.85714285714283</v>
      </c>
      <c r="N13" s="26">
        <f t="shared" si="1"/>
        <v>47.142857142857139</v>
      </c>
      <c r="O13" s="26">
        <f t="shared" si="2"/>
        <v>0</v>
      </c>
      <c r="P13" s="26">
        <v>392.86</v>
      </c>
      <c r="Q13" s="33"/>
      <c r="R13" s="33"/>
      <c r="S13" s="34"/>
      <c r="T13" s="34"/>
      <c r="U13" s="34"/>
      <c r="V13" s="34"/>
      <c r="W13" s="33"/>
      <c r="X13" s="33"/>
      <c r="Y13" s="33"/>
      <c r="Z13" s="33"/>
      <c r="AA13" s="34"/>
      <c r="AB13" s="34"/>
      <c r="AC13" s="33"/>
      <c r="AD13" s="33"/>
      <c r="AE13" s="26">
        <f t="shared" si="3"/>
        <v>-440.00285714285712</v>
      </c>
      <c r="AF13" s="27">
        <f t="shared" si="4"/>
        <v>-2.8571428571240176E-3</v>
      </c>
    </row>
    <row r="14" spans="1:32" s="11" customFormat="1" ht="23.25" customHeight="1" x14ac:dyDescent="0.2">
      <c r="A14" s="29">
        <v>44109</v>
      </c>
      <c r="B14" s="30"/>
      <c r="C14" s="24" t="s">
        <v>95</v>
      </c>
      <c r="D14" s="24" t="s">
        <v>96</v>
      </c>
      <c r="E14" s="24" t="s">
        <v>93</v>
      </c>
      <c r="F14" s="25"/>
      <c r="G14" s="25" t="s">
        <v>104</v>
      </c>
      <c r="H14" s="31"/>
      <c r="I14" s="31"/>
      <c r="J14" s="31"/>
      <c r="K14" s="31">
        <v>118</v>
      </c>
      <c r="L14" s="32"/>
      <c r="M14" s="26">
        <f t="shared" si="0"/>
        <v>105.35714285714285</v>
      </c>
      <c r="N14" s="26">
        <f t="shared" si="1"/>
        <v>12.642857142857141</v>
      </c>
      <c r="O14" s="26">
        <f t="shared" si="2"/>
        <v>0</v>
      </c>
      <c r="P14" s="26">
        <v>105.36</v>
      </c>
      <c r="Q14" s="33"/>
      <c r="R14" s="33"/>
      <c r="S14" s="34"/>
      <c r="T14" s="34"/>
      <c r="U14" s="34"/>
      <c r="V14" s="34"/>
      <c r="W14" s="33"/>
      <c r="X14" s="33"/>
      <c r="Y14" s="33"/>
      <c r="Z14" s="33"/>
      <c r="AA14" s="34"/>
      <c r="AB14" s="34"/>
      <c r="AC14" s="33"/>
      <c r="AD14" s="33"/>
      <c r="AE14" s="26">
        <f t="shared" si="3"/>
        <v>-118.00285714285714</v>
      </c>
      <c r="AF14" s="27">
        <f t="shared" si="4"/>
        <v>-2.8571428571382285E-3</v>
      </c>
    </row>
    <row r="15" spans="1:32" s="11" customFormat="1" ht="23.25" customHeight="1" x14ac:dyDescent="0.2">
      <c r="A15" s="29">
        <v>44109</v>
      </c>
      <c r="B15" s="30"/>
      <c r="C15" s="24" t="s">
        <v>95</v>
      </c>
      <c r="D15" s="24" t="s">
        <v>96</v>
      </c>
      <c r="E15" s="24" t="s">
        <v>93</v>
      </c>
      <c r="F15" s="25"/>
      <c r="G15" s="25" t="s">
        <v>105</v>
      </c>
      <c r="H15" s="31"/>
      <c r="I15" s="31"/>
      <c r="J15" s="31">
        <v>138.06</v>
      </c>
      <c r="K15" s="31"/>
      <c r="L15" s="32"/>
      <c r="M15" s="26">
        <f t="shared" si="0"/>
        <v>138.06</v>
      </c>
      <c r="N15" s="26">
        <f t="shared" si="1"/>
        <v>0</v>
      </c>
      <c r="O15" s="26">
        <f t="shared" si="2"/>
        <v>0</v>
      </c>
      <c r="P15" s="26">
        <v>138.06</v>
      </c>
      <c r="Q15" s="33"/>
      <c r="R15" s="33"/>
      <c r="S15" s="34"/>
      <c r="T15" s="34"/>
      <c r="U15" s="34"/>
      <c r="V15" s="34"/>
      <c r="W15" s="33"/>
      <c r="X15" s="33"/>
      <c r="Y15" s="33"/>
      <c r="Z15" s="33"/>
      <c r="AA15" s="34"/>
      <c r="AB15" s="34"/>
      <c r="AC15" s="33"/>
      <c r="AD15" s="33"/>
      <c r="AE15" s="26">
        <f t="shared" si="3"/>
        <v>-138.06</v>
      </c>
      <c r="AF15" s="27">
        <f t="shared" si="4"/>
        <v>0</v>
      </c>
    </row>
    <row r="16" spans="1:32" s="11" customFormat="1" ht="23.25" customHeight="1" x14ac:dyDescent="0.2">
      <c r="A16" s="29">
        <v>44109</v>
      </c>
      <c r="B16" s="30"/>
      <c r="C16" s="24" t="s">
        <v>95</v>
      </c>
      <c r="D16" s="24" t="s">
        <v>96</v>
      </c>
      <c r="E16" s="24" t="s">
        <v>93</v>
      </c>
      <c r="F16" s="25"/>
      <c r="G16" s="25" t="s">
        <v>106</v>
      </c>
      <c r="H16" s="31"/>
      <c r="I16" s="31"/>
      <c r="J16" s="31"/>
      <c r="K16" s="31">
        <v>176</v>
      </c>
      <c r="L16" s="32"/>
      <c r="M16" s="26">
        <f t="shared" si="0"/>
        <v>157.14285714285714</v>
      </c>
      <c r="N16" s="26">
        <f t="shared" si="1"/>
        <v>18.857142857142858</v>
      </c>
      <c r="O16" s="26">
        <f t="shared" si="2"/>
        <v>0</v>
      </c>
      <c r="P16" s="26">
        <v>157.13999999999999</v>
      </c>
      <c r="Q16" s="33"/>
      <c r="R16" s="33"/>
      <c r="S16" s="34"/>
      <c r="T16" s="34"/>
      <c r="U16" s="34"/>
      <c r="V16" s="34"/>
      <c r="W16" s="33"/>
      <c r="X16" s="33"/>
      <c r="Y16" s="33"/>
      <c r="Z16" s="33"/>
      <c r="AA16" s="34"/>
      <c r="AB16" s="34"/>
      <c r="AC16" s="33"/>
      <c r="AD16" s="33"/>
      <c r="AE16" s="26">
        <f t="shared" si="3"/>
        <v>-175.99714285714285</v>
      </c>
      <c r="AF16" s="27">
        <f t="shared" si="4"/>
        <v>2.8571428571524393E-3</v>
      </c>
    </row>
    <row r="17" spans="1:32" s="11" customFormat="1" ht="23.25" customHeight="1" x14ac:dyDescent="0.2">
      <c r="A17" s="29">
        <v>44109</v>
      </c>
      <c r="B17" s="30"/>
      <c r="C17" s="24" t="s">
        <v>58</v>
      </c>
      <c r="D17" s="24" t="s">
        <v>107</v>
      </c>
      <c r="E17" s="24" t="s">
        <v>108</v>
      </c>
      <c r="F17" s="25"/>
      <c r="G17" s="25" t="s">
        <v>109</v>
      </c>
      <c r="H17" s="31"/>
      <c r="I17" s="31"/>
      <c r="J17" s="31"/>
      <c r="K17" s="31">
        <v>1258</v>
      </c>
      <c r="L17" s="32"/>
      <c r="M17" s="26">
        <f t="shared" si="0"/>
        <v>1123.2142857142856</v>
      </c>
      <c r="N17" s="26">
        <f t="shared" si="1"/>
        <v>134.78571428571425</v>
      </c>
      <c r="O17" s="26">
        <f t="shared" si="2"/>
        <v>0</v>
      </c>
      <c r="P17" s="26">
        <v>1123.21</v>
      </c>
      <c r="Q17" s="33"/>
      <c r="R17" s="33"/>
      <c r="S17" s="34"/>
      <c r="T17" s="34"/>
      <c r="U17" s="34"/>
      <c r="V17" s="34"/>
      <c r="W17" s="33"/>
      <c r="X17" s="33"/>
      <c r="Y17" s="33"/>
      <c r="Z17" s="33"/>
      <c r="AA17" s="34"/>
      <c r="AB17" s="34"/>
      <c r="AC17" s="33"/>
      <c r="AD17" s="33"/>
      <c r="AE17" s="26">
        <f t="shared" si="3"/>
        <v>-1257.9957142857143</v>
      </c>
      <c r="AF17" s="27">
        <f t="shared" si="4"/>
        <v>4.2857142857428698E-3</v>
      </c>
    </row>
    <row r="18" spans="1:32" s="11" customFormat="1" ht="24" customHeight="1" x14ac:dyDescent="0.2">
      <c r="A18" s="29">
        <v>44109</v>
      </c>
      <c r="B18" s="30"/>
      <c r="C18" s="24" t="s">
        <v>43</v>
      </c>
      <c r="D18" s="24"/>
      <c r="E18" s="24"/>
      <c r="F18" s="25"/>
      <c r="G18" s="25" t="s">
        <v>110</v>
      </c>
      <c r="H18" s="31">
        <v>100</v>
      </c>
      <c r="I18" s="31"/>
      <c r="J18" s="31"/>
      <c r="K18" s="31"/>
      <c r="L18" s="32"/>
      <c r="M18" s="26">
        <f t="shared" si="0"/>
        <v>100</v>
      </c>
      <c r="N18" s="26">
        <f t="shared" si="1"/>
        <v>0</v>
      </c>
      <c r="O18" s="26">
        <f t="shared" si="2"/>
        <v>0</v>
      </c>
      <c r="P18" s="26"/>
      <c r="Q18" s="33"/>
      <c r="R18" s="33"/>
      <c r="S18" s="34"/>
      <c r="T18" s="34"/>
      <c r="U18" s="34"/>
      <c r="V18" s="34"/>
      <c r="W18" s="33"/>
      <c r="X18" s="33"/>
      <c r="Y18" s="33"/>
      <c r="Z18" s="33">
        <v>100</v>
      </c>
      <c r="AA18" s="34"/>
      <c r="AB18" s="34"/>
      <c r="AC18" s="33"/>
      <c r="AD18" s="33"/>
      <c r="AE18" s="26">
        <f t="shared" si="3"/>
        <v>-100</v>
      </c>
      <c r="AF18" s="27">
        <f t="shared" si="4"/>
        <v>0</v>
      </c>
    </row>
    <row r="19" spans="1:32" s="11" customFormat="1" ht="23.25" customHeight="1" x14ac:dyDescent="0.2">
      <c r="A19" s="29">
        <v>44110</v>
      </c>
      <c r="B19" s="30"/>
      <c r="C19" s="25" t="s">
        <v>111</v>
      </c>
      <c r="D19" s="24" t="s">
        <v>112</v>
      </c>
      <c r="E19" s="25" t="s">
        <v>113</v>
      </c>
      <c r="F19" s="25"/>
      <c r="G19" s="25" t="s">
        <v>114</v>
      </c>
      <c r="H19" s="31"/>
      <c r="I19" s="31"/>
      <c r="J19" s="31">
        <v>2718.3</v>
      </c>
      <c r="K19" s="31"/>
      <c r="L19" s="32"/>
      <c r="M19" s="26">
        <f t="shared" si="0"/>
        <v>2718.3</v>
      </c>
      <c r="N19" s="26">
        <f t="shared" si="1"/>
        <v>0</v>
      </c>
      <c r="O19" s="26">
        <f t="shared" si="2"/>
        <v>0</v>
      </c>
      <c r="P19" s="26">
        <v>2718.3</v>
      </c>
      <c r="Q19" s="33"/>
      <c r="R19" s="33"/>
      <c r="S19" s="34"/>
      <c r="T19" s="34"/>
      <c r="U19" s="34"/>
      <c r="V19" s="34"/>
      <c r="W19" s="33"/>
      <c r="X19" s="33"/>
      <c r="Y19" s="33"/>
      <c r="Z19" s="33"/>
      <c r="AA19" s="34"/>
      <c r="AB19" s="34"/>
      <c r="AC19" s="33"/>
      <c r="AD19" s="33"/>
      <c r="AE19" s="26">
        <f t="shared" si="3"/>
        <v>-2718.3</v>
      </c>
      <c r="AF19" s="27">
        <f t="shared" si="4"/>
        <v>0</v>
      </c>
    </row>
    <row r="20" spans="1:32" s="11" customFormat="1" ht="23.25" customHeight="1" x14ac:dyDescent="0.2">
      <c r="A20" s="29">
        <v>44110</v>
      </c>
      <c r="B20" s="30"/>
      <c r="C20" s="24" t="s">
        <v>37</v>
      </c>
      <c r="D20" s="24" t="s">
        <v>115</v>
      </c>
      <c r="E20" s="24" t="s">
        <v>116</v>
      </c>
      <c r="F20" s="25"/>
      <c r="G20" s="25" t="s">
        <v>54</v>
      </c>
      <c r="H20" s="31"/>
      <c r="I20" s="31"/>
      <c r="J20" s="31"/>
      <c r="K20" s="31">
        <v>42</v>
      </c>
      <c r="L20" s="32"/>
      <c r="M20" s="26">
        <f t="shared" si="0"/>
        <v>37.499999999999993</v>
      </c>
      <c r="N20" s="26">
        <f t="shared" si="1"/>
        <v>4.4999999999999991</v>
      </c>
      <c r="O20" s="26">
        <f t="shared" si="2"/>
        <v>0</v>
      </c>
      <c r="P20" s="26"/>
      <c r="Q20" s="33">
        <v>37.5</v>
      </c>
      <c r="R20" s="33"/>
      <c r="S20" s="34"/>
      <c r="T20" s="34"/>
      <c r="U20" s="34"/>
      <c r="V20" s="34"/>
      <c r="W20" s="33"/>
      <c r="X20" s="33"/>
      <c r="Y20" s="33"/>
      <c r="Z20" s="33"/>
      <c r="AA20" s="34"/>
      <c r="AB20" s="34"/>
      <c r="AC20" s="33"/>
      <c r="AD20" s="33"/>
      <c r="AE20" s="26">
        <f t="shared" si="3"/>
        <v>-42</v>
      </c>
      <c r="AF20" s="27">
        <f t="shared" si="4"/>
        <v>0</v>
      </c>
    </row>
    <row r="21" spans="1:32" s="11" customFormat="1" ht="23.25" customHeight="1" x14ac:dyDescent="0.2">
      <c r="A21" s="29"/>
      <c r="B21" s="30"/>
      <c r="C21" s="24"/>
      <c r="D21" s="24"/>
      <c r="E21" s="24"/>
      <c r="F21" s="25"/>
      <c r="G21" s="25"/>
      <c r="H21" s="31"/>
      <c r="I21" s="31"/>
      <c r="J21" s="31"/>
      <c r="K21" s="31"/>
      <c r="L21" s="32"/>
      <c r="M21" s="26">
        <f t="shared" si="0"/>
        <v>0</v>
      </c>
      <c r="N21" s="26">
        <f t="shared" si="1"/>
        <v>0</v>
      </c>
      <c r="O21" s="26">
        <f t="shared" si="2"/>
        <v>0</v>
      </c>
      <c r="P21" s="26"/>
      <c r="Q21" s="33"/>
      <c r="R21" s="33"/>
      <c r="S21" s="34"/>
      <c r="T21" s="34"/>
      <c r="U21" s="34"/>
      <c r="V21" s="34"/>
      <c r="W21" s="33"/>
      <c r="X21" s="33"/>
      <c r="Y21" s="33"/>
      <c r="Z21" s="33"/>
      <c r="AA21" s="34"/>
      <c r="AB21" s="34"/>
      <c r="AC21" s="33"/>
      <c r="AD21" s="33"/>
      <c r="AE21" s="26">
        <f t="shared" si="3"/>
        <v>0</v>
      </c>
      <c r="AF21" s="27">
        <f t="shared" si="4"/>
        <v>0</v>
      </c>
    </row>
    <row r="22" spans="1:32" s="11" customFormat="1" x14ac:dyDescent="0.2">
      <c r="A22" s="29"/>
      <c r="B22" s="30"/>
      <c r="C22" s="35"/>
      <c r="D22" s="35"/>
      <c r="E22" s="35"/>
      <c r="F22" s="25"/>
      <c r="G22" s="28"/>
      <c r="H22" s="31"/>
      <c r="I22" s="31"/>
      <c r="J22" s="31"/>
      <c r="K22" s="31"/>
      <c r="L22" s="32"/>
      <c r="M22" s="33">
        <f>SUM(H22:J22,K22/1.12)</f>
        <v>0</v>
      </c>
      <c r="N22" s="33">
        <f>K22/1.12*0.12</f>
        <v>0</v>
      </c>
      <c r="O22" s="33">
        <f>-SUM(I22:J22,K22/1.12)*L22</f>
        <v>0</v>
      </c>
      <c r="P22" s="33"/>
      <c r="Q22" s="33"/>
      <c r="R22" s="33"/>
      <c r="S22" s="33"/>
      <c r="T22" s="34"/>
      <c r="U22" s="34"/>
      <c r="V22" s="34"/>
      <c r="W22" s="34"/>
      <c r="X22" s="36"/>
      <c r="Y22" s="33"/>
      <c r="Z22" s="33"/>
      <c r="AA22" s="33"/>
      <c r="AB22" s="34"/>
      <c r="AC22" s="34"/>
      <c r="AD22" s="37"/>
      <c r="AE22" s="26">
        <f t="shared" si="3"/>
        <v>0</v>
      </c>
      <c r="AF22" s="27">
        <f t="shared" si="4"/>
        <v>0</v>
      </c>
    </row>
    <row r="23" spans="1:32" s="9" customFormat="1" ht="12" thickBot="1" x14ac:dyDescent="0.25">
      <c r="A23" s="38"/>
      <c r="B23" s="39"/>
      <c r="C23" s="40"/>
      <c r="D23" s="41"/>
      <c r="E23" s="41"/>
      <c r="F23" s="42"/>
      <c r="G23" s="40"/>
      <c r="H23" s="43">
        <f t="shared" ref="H23:AF23" si="5">SUM(H5:H22)</f>
        <v>200</v>
      </c>
      <c r="I23" s="43">
        <f t="shared" si="5"/>
        <v>0</v>
      </c>
      <c r="J23" s="43">
        <f t="shared" si="5"/>
        <v>2904.11</v>
      </c>
      <c r="K23" s="43">
        <f t="shared" si="5"/>
        <v>7498.1</v>
      </c>
      <c r="L23" s="43">
        <f t="shared" si="5"/>
        <v>0</v>
      </c>
      <c r="M23" s="43">
        <f t="shared" si="5"/>
        <v>9798.8421428571419</v>
      </c>
      <c r="N23" s="43">
        <f t="shared" si="5"/>
        <v>803.36785714285702</v>
      </c>
      <c r="O23" s="43">
        <f t="shared" si="5"/>
        <v>0</v>
      </c>
      <c r="P23" s="43">
        <f t="shared" si="5"/>
        <v>9037.67</v>
      </c>
      <c r="Q23" s="43">
        <f t="shared" si="5"/>
        <v>149.11000000000001</v>
      </c>
      <c r="R23" s="43">
        <f t="shared" si="5"/>
        <v>0</v>
      </c>
      <c r="S23" s="43">
        <f t="shared" si="5"/>
        <v>0</v>
      </c>
      <c r="T23" s="43">
        <f t="shared" si="5"/>
        <v>270.98</v>
      </c>
      <c r="U23" s="43">
        <f t="shared" si="5"/>
        <v>141.07</v>
      </c>
      <c r="V23" s="43">
        <f t="shared" si="5"/>
        <v>0</v>
      </c>
      <c r="W23" s="43">
        <f t="shared" si="5"/>
        <v>0</v>
      </c>
      <c r="X23" s="43">
        <f t="shared" si="5"/>
        <v>0</v>
      </c>
      <c r="Y23" s="43">
        <f t="shared" si="5"/>
        <v>0</v>
      </c>
      <c r="Z23" s="43">
        <f t="shared" si="5"/>
        <v>200</v>
      </c>
      <c r="AA23" s="43">
        <f t="shared" si="5"/>
        <v>0</v>
      </c>
      <c r="AB23" s="43">
        <f t="shared" si="5"/>
        <v>0</v>
      </c>
      <c r="AC23" s="43">
        <f t="shared" si="5"/>
        <v>0</v>
      </c>
      <c r="AD23" s="43">
        <f t="shared" si="5"/>
        <v>0</v>
      </c>
      <c r="AE23" s="43">
        <f t="shared" si="5"/>
        <v>-10602.197857142859</v>
      </c>
      <c r="AF23" s="43">
        <f t="shared" si="5"/>
        <v>1.2142857142549701E-2</v>
      </c>
    </row>
    <row r="24" spans="1:32" s="81" customFormat="1" ht="12" thickTop="1" x14ac:dyDescent="0.2"/>
    <row r="25" spans="1:32" ht="12" x14ac:dyDescent="0.2">
      <c r="K25" s="44">
        <f>H23+I23+J23+K23</f>
        <v>10602.210000000001</v>
      </c>
      <c r="L25" s="8"/>
      <c r="M25" s="7"/>
      <c r="AE25" s="45">
        <f>+AE23</f>
        <v>-10602.197857142859</v>
      </c>
    </row>
    <row r="26" spans="1:32" x14ac:dyDescent="0.2">
      <c r="K26" s="7"/>
      <c r="L26" s="8"/>
      <c r="M26" s="7"/>
    </row>
    <row r="27" spans="1:32" ht="12.75" x14ac:dyDescent="0.2">
      <c r="C27" s="46" t="s">
        <v>41</v>
      </c>
      <c r="G27" s="9"/>
      <c r="J27" s="48" t="s">
        <v>48</v>
      </c>
      <c r="K27" s="50">
        <v>9940.7099999999991</v>
      </c>
      <c r="L27" s="47"/>
      <c r="M27" s="47"/>
      <c r="N27" s="45" t="s">
        <v>73</v>
      </c>
      <c r="O27" s="45"/>
      <c r="P27" s="45"/>
      <c r="Q27" s="45"/>
      <c r="T27" s="45" t="s">
        <v>80</v>
      </c>
      <c r="U27" s="45"/>
      <c r="V27" s="45"/>
    </row>
    <row r="28" spans="1:32" ht="12.75" x14ac:dyDescent="0.2">
      <c r="C28" s="46"/>
      <c r="G28" s="9"/>
      <c r="J28" s="48" t="s">
        <v>53</v>
      </c>
      <c r="K28" s="50">
        <f>K6+K8</f>
        <v>461.5</v>
      </c>
      <c r="L28" s="47"/>
      <c r="M28" s="47"/>
      <c r="N28" s="45" t="s">
        <v>74</v>
      </c>
      <c r="O28" s="45"/>
      <c r="P28" s="45"/>
      <c r="Q28" s="45"/>
      <c r="T28" s="45" t="s">
        <v>117</v>
      </c>
      <c r="U28" s="45"/>
      <c r="V28" s="45"/>
    </row>
    <row r="29" spans="1:32" ht="12.75" x14ac:dyDescent="0.2">
      <c r="J29" s="48" t="s">
        <v>49</v>
      </c>
      <c r="K29" s="49">
        <v>0</v>
      </c>
      <c r="L29" s="8"/>
      <c r="M29" s="7"/>
      <c r="T29" s="45" t="s">
        <v>118</v>
      </c>
      <c r="U29" s="45"/>
      <c r="V29" s="45"/>
    </row>
    <row r="30" spans="1:32" ht="12.75" x14ac:dyDescent="0.2">
      <c r="J30" s="48" t="s">
        <v>50</v>
      </c>
      <c r="K30" s="49">
        <v>200</v>
      </c>
      <c r="L30" s="8"/>
      <c r="M30" s="7"/>
      <c r="T30" s="57">
        <v>602.21</v>
      </c>
      <c r="U30" s="45" t="s">
        <v>51</v>
      </c>
    </row>
    <row r="31" spans="1:32" ht="12.75" x14ac:dyDescent="0.2">
      <c r="A31" s="1"/>
      <c r="B31" s="1"/>
      <c r="D31" s="1"/>
      <c r="E31" s="1"/>
      <c r="F31" s="1"/>
      <c r="H31" s="1"/>
      <c r="I31" s="1"/>
      <c r="J31" s="51" t="s">
        <v>51</v>
      </c>
      <c r="K31" s="52">
        <f>K27+K28+K29+K30</f>
        <v>10602.21</v>
      </c>
      <c r="L31" s="8"/>
      <c r="M31" s="7"/>
      <c r="N31" s="1"/>
      <c r="O31" s="1"/>
      <c r="P31" s="1"/>
      <c r="Q31" s="1"/>
      <c r="R31" s="1"/>
      <c r="S31" s="1"/>
      <c r="T31" s="1"/>
      <c r="U31" s="1"/>
      <c r="V31" s="1"/>
      <c r="W31" s="1"/>
      <c r="Y31" s="1"/>
      <c r="Z31" s="1"/>
      <c r="AA31" s="1"/>
      <c r="AB31" s="1"/>
      <c r="AC31" s="1"/>
      <c r="AD31" s="1"/>
      <c r="AE31" s="1"/>
    </row>
    <row r="32" spans="1:32" x14ac:dyDescent="0.2">
      <c r="J32" s="2" t="s">
        <v>119</v>
      </c>
      <c r="K32" s="2">
        <v>602.21</v>
      </c>
    </row>
    <row r="33" spans="8:17" ht="12" x14ac:dyDescent="0.2">
      <c r="H33" s="45"/>
      <c r="I33" s="45"/>
      <c r="J33" s="45"/>
      <c r="K33" s="45"/>
      <c r="M33" s="7"/>
    </row>
    <row r="35" spans="8:17" x14ac:dyDescent="0.2">
      <c r="H35" s="1"/>
      <c r="I35" s="1"/>
      <c r="J35" s="1"/>
      <c r="K35" s="1"/>
    </row>
    <row r="36" spans="8:17" x14ac:dyDescent="0.2">
      <c r="H36" s="1"/>
      <c r="I36" s="1"/>
      <c r="J36" s="1"/>
      <c r="K36" s="1"/>
      <c r="Q36" s="2">
        <v>0</v>
      </c>
    </row>
  </sheetData>
  <mergeCells count="1">
    <mergeCell ref="A24:XFD24"/>
  </mergeCells>
  <pageMargins left="0.2" right="0.2" top="0.75" bottom="0.25" header="0.3" footer="0.3"/>
  <pageSetup paperSize="5" scale="85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workbookViewId="0">
      <selection activeCell="C8" sqref="C8"/>
    </sheetView>
  </sheetViews>
  <sheetFormatPr defaultRowHeight="11.25" x14ac:dyDescent="0.2"/>
  <cols>
    <col min="1" max="1" width="8.140625" style="58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11.140625" style="2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8.5703125" style="2" customWidth="1"/>
    <col min="15" max="15" width="9" style="2" customWidth="1"/>
    <col min="16" max="16" width="9.85546875" style="2" customWidth="1"/>
    <col min="17" max="17" width="10.85546875" style="2" hidden="1" customWidth="1"/>
    <col min="18" max="18" width="12.5703125" style="2" customWidth="1"/>
    <col min="19" max="19" width="9.5703125" style="2" hidden="1" customWidth="1"/>
    <col min="20" max="21" width="9.140625" style="2" hidden="1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hidden="1" customWidth="1"/>
    <col min="26" max="26" width="8.28515625" style="2" hidden="1" customWidth="1"/>
    <col min="27" max="27" width="8.7109375" style="2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3" ht="12" customHeight="1" x14ac:dyDescent="0.2">
      <c r="A1" s="12" t="s">
        <v>30</v>
      </c>
      <c r="C1" s="13"/>
    </row>
    <row r="2" spans="1:33" ht="12" customHeight="1" x14ac:dyDescent="0.2">
      <c r="A2" s="12" t="s">
        <v>26</v>
      </c>
    </row>
    <row r="3" spans="1:33" ht="12" customHeight="1" x14ac:dyDescent="0.2">
      <c r="A3" s="12" t="s">
        <v>120</v>
      </c>
      <c r="B3" s="13"/>
      <c r="C3" s="14"/>
      <c r="N3" s="15">
        <v>1301</v>
      </c>
      <c r="O3" s="15">
        <v>2402</v>
      </c>
      <c r="P3" s="15">
        <v>5001</v>
      </c>
      <c r="Q3" s="15">
        <v>5002</v>
      </c>
      <c r="R3" s="15">
        <v>6220</v>
      </c>
      <c r="S3" s="15">
        <v>6219</v>
      </c>
      <c r="T3" s="15">
        <v>6212</v>
      </c>
      <c r="U3" s="15"/>
      <c r="V3" s="15"/>
      <c r="W3" s="15"/>
      <c r="X3" s="15"/>
      <c r="Y3" s="15" t="s">
        <v>25</v>
      </c>
      <c r="Z3" s="15"/>
      <c r="AA3" s="15">
        <v>6230</v>
      </c>
      <c r="AB3" s="15" t="s">
        <v>24</v>
      </c>
      <c r="AC3" s="15">
        <v>6202</v>
      </c>
      <c r="AD3" s="15"/>
      <c r="AE3" s="15">
        <v>6109</v>
      </c>
      <c r="AF3" s="15">
        <v>1002</v>
      </c>
    </row>
    <row r="4" spans="1:33" s="10" customFormat="1" ht="44.25" customHeight="1" x14ac:dyDescent="0.25">
      <c r="A4" s="16" t="s">
        <v>23</v>
      </c>
      <c r="B4" s="17" t="s">
        <v>22</v>
      </c>
      <c r="C4" s="18" t="s">
        <v>21</v>
      </c>
      <c r="D4" s="18" t="s">
        <v>20</v>
      </c>
      <c r="E4" s="18" t="s">
        <v>27</v>
      </c>
      <c r="F4" s="18" t="s">
        <v>19</v>
      </c>
      <c r="G4" s="18" t="s">
        <v>18</v>
      </c>
      <c r="H4" s="18" t="s">
        <v>17</v>
      </c>
      <c r="I4" s="18" t="s">
        <v>16</v>
      </c>
      <c r="J4" s="18" t="s">
        <v>15</v>
      </c>
      <c r="K4" s="18" t="s">
        <v>14</v>
      </c>
      <c r="L4" s="19" t="s">
        <v>13</v>
      </c>
      <c r="M4" s="18" t="s">
        <v>12</v>
      </c>
      <c r="N4" s="20" t="s">
        <v>11</v>
      </c>
      <c r="O4" s="20" t="s">
        <v>10</v>
      </c>
      <c r="P4" s="20" t="s">
        <v>9</v>
      </c>
      <c r="Q4" s="20" t="s">
        <v>8</v>
      </c>
      <c r="R4" s="20" t="s">
        <v>31</v>
      </c>
      <c r="S4" s="20" t="s">
        <v>52</v>
      </c>
      <c r="T4" s="20" t="s">
        <v>7</v>
      </c>
      <c r="U4" s="20" t="s">
        <v>28</v>
      </c>
      <c r="V4" s="20" t="s">
        <v>32</v>
      </c>
      <c r="W4" s="20" t="s">
        <v>33</v>
      </c>
      <c r="X4" s="20" t="s">
        <v>34</v>
      </c>
      <c r="Y4" s="20" t="s">
        <v>6</v>
      </c>
      <c r="Z4" s="20" t="s">
        <v>29</v>
      </c>
      <c r="AA4" s="20" t="s">
        <v>5</v>
      </c>
      <c r="AB4" s="20" t="s">
        <v>4</v>
      </c>
      <c r="AC4" s="21" t="s">
        <v>3</v>
      </c>
      <c r="AD4" s="20" t="s">
        <v>1</v>
      </c>
      <c r="AE4" s="22" t="s">
        <v>2</v>
      </c>
      <c r="AF4" s="23" t="s">
        <v>0</v>
      </c>
    </row>
    <row r="5" spans="1:33" s="10" customFormat="1" ht="20.25" customHeight="1" x14ac:dyDescent="0.2">
      <c r="A5" s="62">
        <v>44113</v>
      </c>
      <c r="B5" s="17"/>
      <c r="C5" s="24" t="s">
        <v>95</v>
      </c>
      <c r="D5" s="18"/>
      <c r="E5" s="18"/>
      <c r="F5" s="63">
        <v>38805</v>
      </c>
      <c r="G5" s="63" t="s">
        <v>124</v>
      </c>
      <c r="H5" s="63"/>
      <c r="I5" s="63"/>
      <c r="J5" s="63">
        <v>178.56</v>
      </c>
      <c r="K5" s="63"/>
      <c r="L5" s="64"/>
      <c r="M5" s="26">
        <f t="shared" ref="M5" si="0">SUM(H5:J5,K5/1.12)</f>
        <v>178.56</v>
      </c>
      <c r="N5" s="26">
        <f t="shared" ref="N5" si="1">K5/1.12*0.12</f>
        <v>0</v>
      </c>
      <c r="O5" s="26">
        <f t="shared" ref="O5" si="2">-SUM(I5:J5,K5/1.12)*L5</f>
        <v>0</v>
      </c>
      <c r="P5" s="26">
        <v>178.56</v>
      </c>
      <c r="Q5" s="33"/>
      <c r="R5" s="33"/>
      <c r="S5" s="34"/>
      <c r="T5" s="34"/>
      <c r="U5" s="34"/>
      <c r="V5" s="34"/>
      <c r="W5" s="34"/>
      <c r="X5" s="33"/>
      <c r="Y5" s="33"/>
      <c r="Z5" s="33"/>
      <c r="AA5" s="33"/>
      <c r="AB5" s="34"/>
      <c r="AC5" s="34"/>
      <c r="AD5" s="33"/>
      <c r="AE5" s="33"/>
      <c r="AF5" s="26">
        <f t="shared" ref="AF5" si="3">-SUM(N5:AE5)</f>
        <v>-178.56</v>
      </c>
      <c r="AG5" s="27">
        <f t="shared" ref="AG5" si="4">SUM(H5:K5)+AF5+O5</f>
        <v>0</v>
      </c>
    </row>
    <row r="6" spans="1:33" s="10" customFormat="1" ht="18" customHeight="1" x14ac:dyDescent="0.2">
      <c r="A6" s="62">
        <v>44113</v>
      </c>
      <c r="B6" s="17"/>
      <c r="C6" s="24" t="s">
        <v>95</v>
      </c>
      <c r="D6" s="18"/>
      <c r="E6" s="18"/>
      <c r="F6" s="18">
        <v>38803</v>
      </c>
      <c r="G6" s="18" t="s">
        <v>125</v>
      </c>
      <c r="H6" s="18"/>
      <c r="I6" s="18"/>
      <c r="J6" s="18"/>
      <c r="K6" s="65">
        <v>683</v>
      </c>
      <c r="L6" s="19"/>
      <c r="M6" s="26">
        <f t="shared" ref="M6:M8" si="5">SUM(H6:J6,K6/1.12)</f>
        <v>609.82142857142856</v>
      </c>
      <c r="N6" s="26">
        <f t="shared" ref="N6:N8" si="6">K6/1.12*0.12</f>
        <v>73.178571428571431</v>
      </c>
      <c r="O6" s="26">
        <f t="shared" ref="O6:O8" si="7">-SUM(I6:J6,K6/1.12)*L6</f>
        <v>0</v>
      </c>
      <c r="P6" s="26">
        <v>609.82000000000005</v>
      </c>
      <c r="Q6" s="33"/>
      <c r="R6" s="33"/>
      <c r="S6" s="34"/>
      <c r="T6" s="34"/>
      <c r="U6" s="34"/>
      <c r="V6" s="34"/>
      <c r="W6" s="34"/>
      <c r="X6" s="33"/>
      <c r="Y6" s="33"/>
      <c r="Z6" s="33"/>
      <c r="AA6" s="33"/>
      <c r="AB6" s="34"/>
      <c r="AC6" s="34"/>
      <c r="AD6" s="33"/>
      <c r="AE6" s="33"/>
      <c r="AF6" s="26">
        <f t="shared" ref="AF6:AF8" si="8">-SUM(N6:AE6)</f>
        <v>-682.99857142857149</v>
      </c>
      <c r="AG6" s="27">
        <f t="shared" ref="AG6:AG8" si="9">SUM(H6:K6)+AF6+O6</f>
        <v>1.4285714285051654E-3</v>
      </c>
    </row>
    <row r="7" spans="1:33" s="10" customFormat="1" ht="21.75" customHeight="1" x14ac:dyDescent="0.2">
      <c r="A7" s="62">
        <v>44112</v>
      </c>
      <c r="B7" s="66"/>
      <c r="C7" s="63" t="s">
        <v>47</v>
      </c>
      <c r="D7" s="63"/>
      <c r="E7" s="63"/>
      <c r="F7" s="63"/>
      <c r="G7" s="63" t="s">
        <v>126</v>
      </c>
      <c r="H7" s="65">
        <v>60</v>
      </c>
      <c r="I7" s="63"/>
      <c r="J7" s="63"/>
      <c r="K7" s="63"/>
      <c r="L7" s="19"/>
      <c r="M7" s="26">
        <f t="shared" si="5"/>
        <v>60</v>
      </c>
      <c r="N7" s="26">
        <f t="shared" si="6"/>
        <v>0</v>
      </c>
      <c r="O7" s="26">
        <f t="shared" si="7"/>
        <v>0</v>
      </c>
      <c r="P7" s="26"/>
      <c r="Q7" s="33"/>
      <c r="R7" s="33"/>
      <c r="S7" s="34"/>
      <c r="T7" s="34"/>
      <c r="U7" s="34"/>
      <c r="V7" s="34"/>
      <c r="W7" s="34"/>
      <c r="X7" s="33"/>
      <c r="Y7" s="33"/>
      <c r="Z7" s="33"/>
      <c r="AA7" s="33">
        <v>60</v>
      </c>
      <c r="AB7" s="34"/>
      <c r="AC7" s="34"/>
      <c r="AD7" s="33"/>
      <c r="AE7" s="33"/>
      <c r="AF7" s="26">
        <f t="shared" si="8"/>
        <v>-60</v>
      </c>
      <c r="AG7" s="27">
        <f t="shared" si="9"/>
        <v>0</v>
      </c>
    </row>
    <row r="8" spans="1:33" s="10" customFormat="1" ht="25.5" customHeight="1" x14ac:dyDescent="0.2">
      <c r="A8" s="62">
        <v>44112</v>
      </c>
      <c r="B8" s="66"/>
      <c r="C8" s="63" t="s">
        <v>127</v>
      </c>
      <c r="D8" s="63"/>
      <c r="E8" s="63"/>
      <c r="F8" s="63">
        <v>203812</v>
      </c>
      <c r="G8" s="63" t="s">
        <v>128</v>
      </c>
      <c r="H8" s="63"/>
      <c r="I8" s="63"/>
      <c r="J8" s="63"/>
      <c r="K8" s="65">
        <v>2170</v>
      </c>
      <c r="L8" s="19"/>
      <c r="M8" s="26">
        <f t="shared" si="5"/>
        <v>1937.4999999999998</v>
      </c>
      <c r="N8" s="26">
        <f t="shared" si="6"/>
        <v>232.49999999999997</v>
      </c>
      <c r="O8" s="26">
        <f t="shared" si="7"/>
        <v>0</v>
      </c>
      <c r="P8" s="26"/>
      <c r="Q8" s="33"/>
      <c r="R8" s="33">
        <v>1937.5</v>
      </c>
      <c r="S8" s="34"/>
      <c r="T8" s="34"/>
      <c r="U8" s="34"/>
      <c r="V8" s="34"/>
      <c r="W8" s="34"/>
      <c r="X8" s="33"/>
      <c r="Y8" s="33"/>
      <c r="Z8" s="33"/>
      <c r="AA8" s="33"/>
      <c r="AB8" s="34"/>
      <c r="AC8" s="34"/>
      <c r="AD8" s="33"/>
      <c r="AE8" s="33"/>
      <c r="AF8" s="26">
        <f t="shared" si="8"/>
        <v>-2170</v>
      </c>
      <c r="AG8" s="27">
        <f t="shared" si="9"/>
        <v>0</v>
      </c>
    </row>
    <row r="9" spans="1:33" s="11" customFormat="1" ht="23.25" customHeight="1" x14ac:dyDescent="0.2">
      <c r="A9" s="29">
        <v>44114</v>
      </c>
      <c r="B9" s="30"/>
      <c r="C9" s="24" t="s">
        <v>45</v>
      </c>
      <c r="D9" s="24"/>
      <c r="E9" s="24"/>
      <c r="F9" s="25">
        <v>669</v>
      </c>
      <c r="G9" s="25" t="s">
        <v>122</v>
      </c>
      <c r="H9" s="31"/>
      <c r="I9" s="31"/>
      <c r="J9" s="31">
        <v>7945</v>
      </c>
      <c r="K9" s="31"/>
      <c r="L9" s="32"/>
      <c r="M9" s="26">
        <f t="shared" ref="M9:M12" si="10">SUM(H9:J9,K9/1.12)</f>
        <v>7945</v>
      </c>
      <c r="N9" s="26">
        <f t="shared" ref="N9:N12" si="11">K9/1.12*0.12</f>
        <v>0</v>
      </c>
      <c r="O9" s="26">
        <f t="shared" ref="O9:O12" si="12">-SUM(I9:J9,K9/1.12)*L9</f>
        <v>0</v>
      </c>
      <c r="P9" s="26">
        <v>7945</v>
      </c>
      <c r="Q9" s="33"/>
      <c r="R9" s="33"/>
      <c r="S9" s="34"/>
      <c r="T9" s="34"/>
      <c r="U9" s="34"/>
      <c r="V9" s="34"/>
      <c r="W9" s="34"/>
      <c r="X9" s="33"/>
      <c r="Y9" s="33"/>
      <c r="Z9" s="33"/>
      <c r="AA9" s="33"/>
      <c r="AB9" s="34"/>
      <c r="AC9" s="34"/>
      <c r="AD9" s="33"/>
      <c r="AE9" s="33"/>
      <c r="AF9" s="26">
        <f t="shared" ref="AF9:AF11" si="13">-SUM(N9:AE9)</f>
        <v>-7945</v>
      </c>
      <c r="AG9" s="27">
        <f t="shared" ref="AG9:AG13" si="14">SUM(H9:K9)+AF9+O9</f>
        <v>0</v>
      </c>
    </row>
    <row r="10" spans="1:33" s="11" customFormat="1" ht="44.25" customHeight="1" x14ac:dyDescent="0.2">
      <c r="A10" s="29">
        <v>44114</v>
      </c>
      <c r="B10" s="30"/>
      <c r="C10" s="24" t="s">
        <v>38</v>
      </c>
      <c r="D10" s="24"/>
      <c r="E10" s="24"/>
      <c r="F10" s="25">
        <v>274901</v>
      </c>
      <c r="G10" s="25" t="s">
        <v>123</v>
      </c>
      <c r="H10" s="31"/>
      <c r="I10" s="31"/>
      <c r="J10" s="31"/>
      <c r="K10" s="31">
        <f>4899.2+587.9</f>
        <v>5487.0999999999995</v>
      </c>
      <c r="L10" s="32"/>
      <c r="M10" s="26">
        <f t="shared" si="10"/>
        <v>4899.1964285714275</v>
      </c>
      <c r="N10" s="26">
        <f t="shared" si="11"/>
        <v>587.90357142857124</v>
      </c>
      <c r="O10" s="26">
        <f t="shared" si="12"/>
        <v>0</v>
      </c>
      <c r="P10" s="26">
        <v>4899.2</v>
      </c>
      <c r="Q10" s="33"/>
      <c r="R10" s="33"/>
      <c r="S10" s="34"/>
      <c r="T10" s="34"/>
      <c r="U10" s="34"/>
      <c r="V10" s="34"/>
      <c r="W10" s="34"/>
      <c r="X10" s="33"/>
      <c r="Y10" s="33"/>
      <c r="Z10" s="33"/>
      <c r="AA10" s="33"/>
      <c r="AB10" s="34"/>
      <c r="AC10" s="34"/>
      <c r="AD10" s="33"/>
      <c r="AE10" s="33"/>
      <c r="AF10" s="26">
        <f t="shared" si="13"/>
        <v>-5487.1035714285708</v>
      </c>
      <c r="AG10" s="27">
        <f t="shared" si="14"/>
        <v>-3.5714285713766003E-3</v>
      </c>
    </row>
    <row r="11" spans="1:33" s="11" customFormat="1" ht="23.25" customHeight="1" x14ac:dyDescent="0.2">
      <c r="A11" s="29">
        <v>44114</v>
      </c>
      <c r="B11" s="30"/>
      <c r="C11" s="24" t="s">
        <v>38</v>
      </c>
      <c r="D11" s="24"/>
      <c r="E11" s="24"/>
      <c r="F11" s="25">
        <v>274901</v>
      </c>
      <c r="G11" s="25" t="s">
        <v>55</v>
      </c>
      <c r="H11" s="31"/>
      <c r="I11" s="31"/>
      <c r="J11" s="31">
        <v>183.69</v>
      </c>
      <c r="K11" s="31"/>
      <c r="L11" s="32"/>
      <c r="M11" s="26">
        <f t="shared" si="10"/>
        <v>183.69</v>
      </c>
      <c r="N11" s="26">
        <f t="shared" si="11"/>
        <v>0</v>
      </c>
      <c r="O11" s="26">
        <f t="shared" si="12"/>
        <v>0</v>
      </c>
      <c r="P11" s="26">
        <v>183.69</v>
      </c>
      <c r="Q11" s="33"/>
      <c r="R11" s="33"/>
      <c r="S11" s="34"/>
      <c r="T11" s="34"/>
      <c r="U11" s="34"/>
      <c r="V11" s="34"/>
      <c r="W11" s="34"/>
      <c r="X11" s="33"/>
      <c r="Y11" s="33"/>
      <c r="Z11" s="33"/>
      <c r="AA11" s="33"/>
      <c r="AB11" s="34"/>
      <c r="AC11" s="34"/>
      <c r="AD11" s="33"/>
      <c r="AE11" s="33"/>
      <c r="AF11" s="26">
        <f t="shared" si="13"/>
        <v>-183.69</v>
      </c>
      <c r="AG11" s="27">
        <f t="shared" si="14"/>
        <v>0</v>
      </c>
    </row>
    <row r="12" spans="1:33" s="11" customFormat="1" ht="23.25" customHeight="1" x14ac:dyDescent="0.2">
      <c r="A12" s="29"/>
      <c r="B12" s="30"/>
      <c r="C12" s="24"/>
      <c r="D12" s="24"/>
      <c r="E12" s="24"/>
      <c r="F12" s="25"/>
      <c r="G12" s="25"/>
      <c r="H12" s="31"/>
      <c r="I12" s="31"/>
      <c r="J12" s="31"/>
      <c r="K12" s="31"/>
      <c r="L12" s="32"/>
      <c r="M12" s="26">
        <f t="shared" si="10"/>
        <v>0</v>
      </c>
      <c r="N12" s="26">
        <f t="shared" si="11"/>
        <v>0</v>
      </c>
      <c r="O12" s="26">
        <f t="shared" si="12"/>
        <v>0</v>
      </c>
      <c r="P12" s="26"/>
      <c r="Q12" s="33"/>
      <c r="R12" s="33"/>
      <c r="S12" s="34"/>
      <c r="T12" s="34"/>
      <c r="U12" s="34"/>
      <c r="V12" s="34"/>
      <c r="W12" s="34"/>
      <c r="X12" s="33"/>
      <c r="Y12" s="33"/>
      <c r="Z12" s="33"/>
      <c r="AA12" s="33"/>
      <c r="AB12" s="34"/>
      <c r="AC12" s="34"/>
      <c r="AD12" s="33"/>
      <c r="AE12" s="33"/>
      <c r="AF12" s="26">
        <f t="shared" ref="AF12:AF13" si="15">-SUM(N12:AE12)</f>
        <v>0</v>
      </c>
      <c r="AG12" s="27">
        <f t="shared" si="14"/>
        <v>0</v>
      </c>
    </row>
    <row r="13" spans="1:33" s="11" customFormat="1" ht="12" thickBot="1" x14ac:dyDescent="0.25">
      <c r="A13" s="29"/>
      <c r="B13" s="30"/>
      <c r="C13" s="35"/>
      <c r="D13" s="35"/>
      <c r="E13" s="35"/>
      <c r="F13" s="25"/>
      <c r="G13" s="28"/>
      <c r="H13" s="31"/>
      <c r="I13" s="31"/>
      <c r="J13" s="31"/>
      <c r="K13" s="31"/>
      <c r="L13" s="32"/>
      <c r="M13" s="33">
        <f>SUM(H13:J13,K13/1.12)</f>
        <v>0</v>
      </c>
      <c r="N13" s="33">
        <f>K13/1.12*0.12</f>
        <v>0</v>
      </c>
      <c r="O13" s="33">
        <f>-SUM(I13:J13,K13/1.12)*L13</f>
        <v>0</v>
      </c>
      <c r="P13" s="33"/>
      <c r="Q13" s="33"/>
      <c r="R13" s="33"/>
      <c r="S13" s="33"/>
      <c r="T13" s="34"/>
      <c r="U13" s="43">
        <f>SUM(U4:U12)</f>
        <v>0</v>
      </c>
      <c r="V13" s="34"/>
      <c r="W13" s="34"/>
      <c r="X13" s="34"/>
      <c r="Y13" s="36"/>
      <c r="Z13" s="33"/>
      <c r="AA13" s="43"/>
      <c r="AB13" s="33"/>
      <c r="AC13" s="34"/>
      <c r="AD13" s="34"/>
      <c r="AE13" s="37"/>
      <c r="AF13" s="26">
        <f t="shared" si="15"/>
        <v>0</v>
      </c>
      <c r="AG13" s="27">
        <f t="shared" si="14"/>
        <v>0</v>
      </c>
    </row>
    <row r="14" spans="1:33" s="9" customFormat="1" ht="12.75" thickTop="1" thickBot="1" x14ac:dyDescent="0.25">
      <c r="A14" s="38"/>
      <c r="B14" s="39"/>
      <c r="C14" s="40"/>
      <c r="D14" s="41"/>
      <c r="E14" s="41"/>
      <c r="F14" s="42"/>
      <c r="G14" s="40"/>
      <c r="H14" s="43">
        <f>SUM(H5:H13)</f>
        <v>60</v>
      </c>
      <c r="I14" s="43">
        <f>SUM(I9:I13)</f>
        <v>0</v>
      </c>
      <c r="J14" s="43">
        <f>SUM(J5:J13)</f>
        <v>8307.25</v>
      </c>
      <c r="K14" s="43">
        <f>SUM(K5:K13)</f>
        <v>8340.0999999999985</v>
      </c>
      <c r="L14" s="43">
        <f>SUM(L9:L13)</f>
        <v>0</v>
      </c>
      <c r="M14" s="43">
        <f>SUM(M5:M13)</f>
        <v>15813.767857142857</v>
      </c>
      <c r="N14" s="43">
        <f>SUM(N5:N13)</f>
        <v>893.58214285714257</v>
      </c>
      <c r="O14" s="43">
        <f>SUM(O9:O13)</f>
        <v>0</v>
      </c>
      <c r="P14" s="43">
        <f>SUM(P5:P13)</f>
        <v>13816.270000000002</v>
      </c>
      <c r="Q14" s="43">
        <f>SUM(Q5:Q13)</f>
        <v>0</v>
      </c>
      <c r="R14" s="43">
        <f>SUM(R5:R13)</f>
        <v>1937.5</v>
      </c>
      <c r="S14" s="43">
        <f>SUM(S5:S13)</f>
        <v>0</v>
      </c>
      <c r="T14" s="43">
        <f>SUM(T5:T13)</f>
        <v>0</v>
      </c>
      <c r="U14" s="43">
        <f>SUM(U5:U13)</f>
        <v>0</v>
      </c>
      <c r="V14" s="43">
        <f>SUM(V9:V13)</f>
        <v>0</v>
      </c>
      <c r="W14" s="43">
        <f>SUM(W9:W13)</f>
        <v>0</v>
      </c>
      <c r="X14" s="43">
        <f>SUM(X9:X13)</f>
        <v>0</v>
      </c>
      <c r="Y14" s="43">
        <f>SUM(Y9:Y13)</f>
        <v>0</v>
      </c>
      <c r="Z14" s="43">
        <f>SUM(Z9:Z13)</f>
        <v>0</v>
      </c>
      <c r="AA14" s="43">
        <f>SUM(AA5:AA13)</f>
        <v>60</v>
      </c>
      <c r="AB14" s="43">
        <f>SUM(AB9:AB13)</f>
        <v>0</v>
      </c>
      <c r="AC14" s="43">
        <f>SUM(AC9:AC13)</f>
        <v>0</v>
      </c>
      <c r="AD14" s="43">
        <f>SUM(AD9:AD13)</f>
        <v>0</v>
      </c>
      <c r="AE14" s="43">
        <f>SUM(AE9:AE13)</f>
        <v>0</v>
      </c>
      <c r="AF14" s="43">
        <f>SUM(AF5:AF13)</f>
        <v>-16707.35214285714</v>
      </c>
      <c r="AG14" s="43">
        <f>SUM(AG9:AG13)</f>
        <v>-3.5714285713766003E-3</v>
      </c>
    </row>
    <row r="15" spans="1:33" s="81" customFormat="1" ht="12" thickTop="1" x14ac:dyDescent="0.2"/>
    <row r="16" spans="1:33" ht="12" x14ac:dyDescent="0.2">
      <c r="K16" s="44">
        <f>H14+J14+K14</f>
        <v>16707.349999999999</v>
      </c>
      <c r="L16" s="8"/>
      <c r="M16" s="7"/>
      <c r="AF16" s="45">
        <f>+AF14</f>
        <v>-16707.35214285714</v>
      </c>
    </row>
    <row r="17" spans="1:32" ht="12" x14ac:dyDescent="0.2">
      <c r="K17" s="44"/>
      <c r="L17" s="8"/>
      <c r="M17" s="7"/>
      <c r="AF17" s="45"/>
    </row>
    <row r="18" spans="1:32" ht="12" x14ac:dyDescent="0.2">
      <c r="K18" s="44"/>
      <c r="L18" s="8"/>
      <c r="M18" s="7"/>
      <c r="AF18" s="45"/>
    </row>
    <row r="19" spans="1:32" x14ac:dyDescent="0.2">
      <c r="K19" s="7"/>
      <c r="L19" s="8"/>
      <c r="M19" s="7"/>
    </row>
    <row r="20" spans="1:32" ht="12.75" x14ac:dyDescent="0.2">
      <c r="C20" s="46" t="s">
        <v>121</v>
      </c>
      <c r="G20" s="9"/>
      <c r="J20" s="48" t="s">
        <v>48</v>
      </c>
      <c r="K20" s="50">
        <f>J5+K6+J9+K10+J11</f>
        <v>14477.35</v>
      </c>
      <c r="L20" s="47"/>
      <c r="M20" s="47"/>
      <c r="N20" s="45"/>
      <c r="O20" s="45"/>
      <c r="P20" s="45"/>
      <c r="Q20" s="45"/>
      <c r="R20" s="73"/>
    </row>
    <row r="21" spans="1:32" ht="12.75" x14ac:dyDescent="0.2">
      <c r="C21" s="46"/>
      <c r="G21" s="9"/>
      <c r="J21" s="48" t="s">
        <v>53</v>
      </c>
      <c r="K21" s="50">
        <v>0</v>
      </c>
      <c r="L21" s="47"/>
      <c r="M21" s="47"/>
      <c r="N21" s="45"/>
      <c r="O21" s="45"/>
      <c r="P21" s="45"/>
      <c r="Q21" s="45"/>
      <c r="R21" s="73"/>
    </row>
    <row r="22" spans="1:32" ht="12.75" x14ac:dyDescent="0.2">
      <c r="J22" s="48" t="s">
        <v>49</v>
      </c>
      <c r="K22" s="49">
        <f>K8</f>
        <v>2170</v>
      </c>
      <c r="L22" s="8"/>
      <c r="M22" s="7"/>
      <c r="P22" s="45"/>
      <c r="R22" s="73"/>
    </row>
    <row r="23" spans="1:32" ht="12.75" x14ac:dyDescent="0.2">
      <c r="J23" s="48" t="s">
        <v>50</v>
      </c>
      <c r="K23" s="49">
        <f>H7</f>
        <v>60</v>
      </c>
      <c r="L23" s="8"/>
      <c r="M23" s="7"/>
    </row>
    <row r="24" spans="1:32" ht="12.75" x14ac:dyDescent="0.2">
      <c r="A24" s="1"/>
      <c r="B24" s="1"/>
      <c r="D24" s="1"/>
      <c r="E24" s="1"/>
      <c r="F24" s="1"/>
      <c r="H24" s="1"/>
      <c r="I24" s="1"/>
      <c r="J24" s="51" t="s">
        <v>51</v>
      </c>
      <c r="K24" s="52">
        <f>SUM(K20:K23)</f>
        <v>16707.349999999999</v>
      </c>
      <c r="L24" s="8"/>
      <c r="M24" s="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Z24" s="1"/>
      <c r="AA24" s="1"/>
      <c r="AB24" s="1"/>
      <c r="AC24" s="1"/>
      <c r="AD24" s="1"/>
      <c r="AE24" s="1"/>
      <c r="AF24" s="1"/>
    </row>
    <row r="26" spans="1:32" ht="12" x14ac:dyDescent="0.2">
      <c r="H26" s="54" t="s">
        <v>129</v>
      </c>
      <c r="I26" s="54"/>
      <c r="J26" s="54"/>
      <c r="K26" s="54"/>
      <c r="L26" s="67"/>
      <c r="M26" s="68"/>
    </row>
    <row r="27" spans="1:32" ht="12" x14ac:dyDescent="0.2">
      <c r="H27" s="59"/>
      <c r="I27" s="59"/>
      <c r="J27" s="59"/>
      <c r="K27" s="59"/>
    </row>
    <row r="28" spans="1:32" ht="12" x14ac:dyDescent="0.2">
      <c r="H28" s="59"/>
      <c r="I28" s="59"/>
      <c r="J28" s="59"/>
      <c r="K28" s="59"/>
    </row>
    <row r="29" spans="1:32" ht="12" x14ac:dyDescent="0.2">
      <c r="H29" s="59"/>
      <c r="I29" s="59"/>
      <c r="J29" s="59"/>
      <c r="K29" s="59"/>
    </row>
    <row r="30" spans="1:32" ht="12" x14ac:dyDescent="0.2">
      <c r="H30" s="59"/>
      <c r="I30" s="59"/>
      <c r="J30" s="59"/>
      <c r="K30" s="59"/>
    </row>
    <row r="31" spans="1:32" ht="12" x14ac:dyDescent="0.2">
      <c r="H31" s="59"/>
      <c r="I31" s="59"/>
      <c r="J31" s="59"/>
      <c r="K31" s="59"/>
      <c r="Q31" s="2">
        <v>0</v>
      </c>
    </row>
    <row r="32" spans="1:32" ht="12" x14ac:dyDescent="0.2">
      <c r="A32" s="1"/>
      <c r="B32" s="1"/>
      <c r="D32" s="1"/>
      <c r="E32" s="1"/>
      <c r="F32" s="1"/>
      <c r="H32" s="60"/>
      <c r="I32" s="60"/>
      <c r="J32" s="60"/>
      <c r="K32" s="60"/>
      <c r="L32" s="1"/>
      <c r="M32" s="1"/>
      <c r="N32" s="1"/>
      <c r="O32" s="1"/>
      <c r="P32" s="1"/>
      <c r="Q32" s="1"/>
      <c r="R32" s="1"/>
      <c r="S32" s="1"/>
      <c r="Z32" s="1"/>
      <c r="AA32" s="1"/>
      <c r="AB32" s="1"/>
      <c r="AC32" s="1"/>
      <c r="AD32" s="1"/>
      <c r="AE32" s="1"/>
      <c r="AF32" s="1"/>
    </row>
    <row r="33" spans="8:11" ht="12" x14ac:dyDescent="0.2">
      <c r="H33" s="59"/>
      <c r="I33" s="59"/>
      <c r="J33" s="59"/>
      <c r="K33" s="59"/>
    </row>
    <row r="34" spans="8:11" ht="12" x14ac:dyDescent="0.2">
      <c r="H34" s="59"/>
      <c r="I34" s="59"/>
      <c r="J34" s="59"/>
      <c r="K34" s="59"/>
    </row>
    <row r="35" spans="8:11" ht="12" x14ac:dyDescent="0.2">
      <c r="H35" s="59"/>
      <c r="I35" s="59"/>
      <c r="J35" s="59"/>
      <c r="K35" s="59"/>
    </row>
    <row r="36" spans="8:11" ht="12" x14ac:dyDescent="0.2">
      <c r="H36" s="59"/>
      <c r="I36" s="59"/>
      <c r="J36" s="59"/>
      <c r="K36" s="59"/>
    </row>
    <row r="37" spans="8:11" x14ac:dyDescent="0.2">
      <c r="H37" s="61"/>
      <c r="I37" s="61"/>
      <c r="J37" s="61"/>
      <c r="K37" s="61"/>
    </row>
    <row r="38" spans="8:11" x14ac:dyDescent="0.2">
      <c r="H38" s="61"/>
      <c r="I38" s="61"/>
      <c r="J38" s="61"/>
      <c r="K38" s="61"/>
    </row>
    <row r="39" spans="8:11" x14ac:dyDescent="0.2">
      <c r="H39" s="61"/>
      <c r="I39" s="61"/>
      <c r="J39" s="61"/>
      <c r="K39" s="61"/>
    </row>
    <row r="40" spans="8:11" x14ac:dyDescent="0.2">
      <c r="H40" s="61"/>
      <c r="I40" s="61"/>
      <c r="J40" s="61"/>
      <c r="K40" s="61"/>
    </row>
    <row r="41" spans="8:11" x14ac:dyDescent="0.2">
      <c r="H41" s="61"/>
      <c r="I41" s="61"/>
      <c r="J41" s="61"/>
      <c r="K41" s="61"/>
    </row>
  </sheetData>
  <mergeCells count="1">
    <mergeCell ref="A15:XFD15"/>
  </mergeCells>
  <pageMargins left="0.7" right="0.7" top="0.75" bottom="0.75" header="0.3" footer="0.3"/>
  <pageSetup paperSize="5" scale="90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workbookViewId="0">
      <selection activeCell="C8" sqref="C8"/>
    </sheetView>
  </sheetViews>
  <sheetFormatPr defaultRowHeight="11.25" x14ac:dyDescent="0.2"/>
  <cols>
    <col min="1" max="1" width="8.140625" style="69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11.140625" style="2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8.5703125" style="2" customWidth="1"/>
    <col min="15" max="15" width="9" style="2" hidden="1" customWidth="1"/>
    <col min="16" max="16" width="9.85546875" style="2" customWidth="1"/>
    <col min="17" max="17" width="10.85546875" style="2" hidden="1" customWidth="1"/>
    <col min="18" max="18" width="10.7109375" style="2" customWidth="1"/>
    <col min="19" max="19" width="9.5703125" style="2" hidden="1" customWidth="1"/>
    <col min="20" max="20" width="9.140625" style="2" customWidth="1"/>
    <col min="21" max="21" width="9.140625" style="2" hidden="1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hidden="1" customWidth="1"/>
    <col min="26" max="26" width="8.28515625" style="2" hidden="1" customWidth="1"/>
    <col min="27" max="27" width="8.7109375" style="2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3" ht="12" customHeight="1" x14ac:dyDescent="0.2">
      <c r="A1" s="12" t="s">
        <v>30</v>
      </c>
      <c r="C1" s="13"/>
    </row>
    <row r="2" spans="1:33" ht="12" customHeight="1" x14ac:dyDescent="0.2">
      <c r="A2" s="12" t="s">
        <v>26</v>
      </c>
    </row>
    <row r="3" spans="1:33" ht="12" customHeight="1" x14ac:dyDescent="0.2">
      <c r="A3" s="12" t="s">
        <v>130</v>
      </c>
      <c r="B3" s="13"/>
      <c r="C3" s="14"/>
      <c r="N3" s="15">
        <v>1301</v>
      </c>
      <c r="O3" s="15">
        <v>2402</v>
      </c>
      <c r="P3" s="15">
        <v>5001</v>
      </c>
      <c r="Q3" s="15">
        <v>5002</v>
      </c>
      <c r="R3" s="15">
        <v>6220</v>
      </c>
      <c r="S3" s="15">
        <v>6219</v>
      </c>
      <c r="T3" s="15">
        <v>6212</v>
      </c>
      <c r="U3" s="15"/>
      <c r="V3" s="15"/>
      <c r="W3" s="15"/>
      <c r="X3" s="15"/>
      <c r="Y3" s="15" t="s">
        <v>25</v>
      </c>
      <c r="Z3" s="15"/>
      <c r="AA3" s="15">
        <v>6230</v>
      </c>
      <c r="AB3" s="15" t="s">
        <v>24</v>
      </c>
      <c r="AC3" s="15">
        <v>6202</v>
      </c>
      <c r="AD3" s="15"/>
      <c r="AE3" s="15">
        <v>6109</v>
      </c>
      <c r="AF3" s="15">
        <v>1002</v>
      </c>
    </row>
    <row r="4" spans="1:33" s="10" customFormat="1" ht="44.25" customHeight="1" x14ac:dyDescent="0.25">
      <c r="A4" s="16" t="s">
        <v>23</v>
      </c>
      <c r="B4" s="17" t="s">
        <v>22</v>
      </c>
      <c r="C4" s="18" t="s">
        <v>21</v>
      </c>
      <c r="D4" s="18" t="s">
        <v>20</v>
      </c>
      <c r="E4" s="18" t="s">
        <v>27</v>
      </c>
      <c r="F4" s="18" t="s">
        <v>19</v>
      </c>
      <c r="G4" s="18" t="s">
        <v>18</v>
      </c>
      <c r="H4" s="18" t="s">
        <v>17</v>
      </c>
      <c r="I4" s="18" t="s">
        <v>16</v>
      </c>
      <c r="J4" s="18" t="s">
        <v>15</v>
      </c>
      <c r="K4" s="18" t="s">
        <v>14</v>
      </c>
      <c r="L4" s="19" t="s">
        <v>13</v>
      </c>
      <c r="M4" s="18" t="s">
        <v>12</v>
      </c>
      <c r="N4" s="20" t="s">
        <v>11</v>
      </c>
      <c r="O4" s="20" t="s">
        <v>10</v>
      </c>
      <c r="P4" s="20" t="s">
        <v>9</v>
      </c>
      <c r="Q4" s="20" t="s">
        <v>8</v>
      </c>
      <c r="R4" s="20" t="s">
        <v>31</v>
      </c>
      <c r="S4" s="20" t="s">
        <v>52</v>
      </c>
      <c r="T4" s="20" t="s">
        <v>7</v>
      </c>
      <c r="U4" s="20" t="s">
        <v>28</v>
      </c>
      <c r="V4" s="20" t="s">
        <v>32</v>
      </c>
      <c r="W4" s="20" t="s">
        <v>33</v>
      </c>
      <c r="X4" s="20" t="s">
        <v>34</v>
      </c>
      <c r="Y4" s="20" t="s">
        <v>6</v>
      </c>
      <c r="Z4" s="20" t="s">
        <v>29</v>
      </c>
      <c r="AA4" s="20" t="s">
        <v>5</v>
      </c>
      <c r="AB4" s="20" t="s">
        <v>4</v>
      </c>
      <c r="AC4" s="21" t="s">
        <v>3</v>
      </c>
      <c r="AD4" s="20" t="s">
        <v>1</v>
      </c>
      <c r="AE4" s="22" t="s">
        <v>2</v>
      </c>
      <c r="AF4" s="23" t="s">
        <v>0</v>
      </c>
    </row>
    <row r="5" spans="1:33" s="10" customFormat="1" ht="20.25" customHeight="1" x14ac:dyDescent="0.2">
      <c r="A5" s="62">
        <v>44116</v>
      </c>
      <c r="B5" s="17"/>
      <c r="C5" s="24" t="s">
        <v>131</v>
      </c>
      <c r="D5" s="18"/>
      <c r="E5" s="18"/>
      <c r="F5" s="63"/>
      <c r="G5" s="63" t="s">
        <v>132</v>
      </c>
      <c r="H5" s="63"/>
      <c r="I5" s="63"/>
      <c r="J5" s="65">
        <v>1150</v>
      </c>
      <c r="K5" s="65"/>
      <c r="L5" s="64"/>
      <c r="M5" s="26">
        <f t="shared" ref="M5:M14" si="0">SUM(H5:J5,K5/1.12)</f>
        <v>1150</v>
      </c>
      <c r="N5" s="26">
        <f t="shared" ref="N5:N14" si="1">K5/1.12*0.12</f>
        <v>0</v>
      </c>
      <c r="O5" s="26">
        <f t="shared" ref="O5:O14" si="2">-SUM(I5:J5,K5/1.12)*L5</f>
        <v>0</v>
      </c>
      <c r="P5" s="26">
        <v>1150</v>
      </c>
      <c r="Q5" s="33"/>
      <c r="R5" s="33"/>
      <c r="S5" s="34"/>
      <c r="T5" s="34"/>
      <c r="U5" s="34"/>
      <c r="V5" s="34"/>
      <c r="W5" s="34"/>
      <c r="X5" s="33"/>
      <c r="Y5" s="33"/>
      <c r="Z5" s="33"/>
      <c r="AA5" s="33"/>
      <c r="AB5" s="34"/>
      <c r="AC5" s="34"/>
      <c r="AD5" s="33"/>
      <c r="AE5" s="33"/>
      <c r="AF5" s="26">
        <f t="shared" ref="AF5:AF13" si="3">-SUM(N5:AE5)</f>
        <v>-1150</v>
      </c>
      <c r="AG5" s="27">
        <f t="shared" ref="AG5:AG15" si="4">SUM(H5:K5)+AF5+O5</f>
        <v>0</v>
      </c>
    </row>
    <row r="6" spans="1:33" s="10" customFormat="1" ht="18" customHeight="1" x14ac:dyDescent="0.2">
      <c r="A6" s="62">
        <v>44116</v>
      </c>
      <c r="B6" s="17"/>
      <c r="C6" s="24" t="s">
        <v>133</v>
      </c>
      <c r="D6" s="18"/>
      <c r="E6" s="18"/>
      <c r="F6" s="18"/>
      <c r="G6" s="63" t="s">
        <v>134</v>
      </c>
      <c r="H6" s="65">
        <v>50</v>
      </c>
      <c r="I6" s="18"/>
      <c r="J6" s="18"/>
      <c r="K6" s="65"/>
      <c r="L6" s="19"/>
      <c r="M6" s="26">
        <f t="shared" si="0"/>
        <v>50</v>
      </c>
      <c r="N6" s="26">
        <f t="shared" si="1"/>
        <v>0</v>
      </c>
      <c r="O6" s="26">
        <f t="shared" si="2"/>
        <v>0</v>
      </c>
      <c r="P6" s="26"/>
      <c r="Q6" s="33"/>
      <c r="R6" s="33"/>
      <c r="S6" s="34"/>
      <c r="T6" s="34"/>
      <c r="U6" s="34"/>
      <c r="V6" s="34"/>
      <c r="W6" s="34"/>
      <c r="X6" s="33"/>
      <c r="Y6" s="33"/>
      <c r="Z6" s="33"/>
      <c r="AA6" s="33">
        <v>50</v>
      </c>
      <c r="AB6" s="34"/>
      <c r="AC6" s="34"/>
      <c r="AD6" s="33"/>
      <c r="AE6" s="33"/>
      <c r="AF6" s="26">
        <f t="shared" si="3"/>
        <v>-50</v>
      </c>
      <c r="AG6" s="27">
        <f t="shared" si="4"/>
        <v>0</v>
      </c>
    </row>
    <row r="7" spans="1:33" s="10" customFormat="1" ht="21.75" customHeight="1" x14ac:dyDescent="0.2">
      <c r="A7" s="62">
        <v>44117</v>
      </c>
      <c r="B7" s="66"/>
      <c r="C7" s="63" t="s">
        <v>135</v>
      </c>
      <c r="D7" s="63"/>
      <c r="E7" s="63"/>
      <c r="F7" s="63">
        <v>8222277</v>
      </c>
      <c r="G7" s="63" t="s">
        <v>136</v>
      </c>
      <c r="H7" s="65"/>
      <c r="I7" s="63"/>
      <c r="J7" s="63"/>
      <c r="K7" s="65">
        <v>130</v>
      </c>
      <c r="L7" s="19"/>
      <c r="M7" s="26">
        <f t="shared" si="0"/>
        <v>116.07142857142856</v>
      </c>
      <c r="N7" s="26">
        <f t="shared" si="1"/>
        <v>13.928571428571425</v>
      </c>
      <c r="O7" s="26">
        <f t="shared" si="2"/>
        <v>0</v>
      </c>
      <c r="P7" s="26"/>
      <c r="Q7" s="33"/>
      <c r="R7" s="33"/>
      <c r="S7" s="34"/>
      <c r="T7" s="34">
        <v>116.07</v>
      </c>
      <c r="U7" s="34"/>
      <c r="V7" s="34"/>
      <c r="W7" s="34"/>
      <c r="X7" s="33"/>
      <c r="Y7" s="33"/>
      <c r="Z7" s="33"/>
      <c r="AA7" s="33"/>
      <c r="AB7" s="34"/>
      <c r="AC7" s="34"/>
      <c r="AD7" s="33"/>
      <c r="AE7" s="33"/>
      <c r="AF7" s="26">
        <f t="shared" si="3"/>
        <v>-129.99857142857141</v>
      </c>
      <c r="AG7" s="27">
        <f t="shared" si="4"/>
        <v>1.4285714285904305E-3</v>
      </c>
    </row>
    <row r="8" spans="1:33" s="10" customFormat="1" ht="25.5" customHeight="1" x14ac:dyDescent="0.2">
      <c r="A8" s="62">
        <v>44118</v>
      </c>
      <c r="B8" s="66"/>
      <c r="C8" s="63" t="s">
        <v>127</v>
      </c>
      <c r="D8" s="63"/>
      <c r="E8" s="63"/>
      <c r="F8" s="63">
        <v>204070</v>
      </c>
      <c r="G8" s="63" t="s">
        <v>137</v>
      </c>
      <c r="H8" s="63"/>
      <c r="I8" s="63"/>
      <c r="J8" s="63"/>
      <c r="K8" s="65">
        <v>852</v>
      </c>
      <c r="L8" s="19"/>
      <c r="M8" s="26">
        <f t="shared" si="0"/>
        <v>760.71428571428567</v>
      </c>
      <c r="N8" s="26">
        <f t="shared" si="1"/>
        <v>91.285714285714278</v>
      </c>
      <c r="O8" s="26">
        <f t="shared" si="2"/>
        <v>0</v>
      </c>
      <c r="P8" s="26"/>
      <c r="Q8" s="33"/>
      <c r="R8" s="33">
        <v>760.71</v>
      </c>
      <c r="S8" s="34"/>
      <c r="T8" s="34"/>
      <c r="U8" s="34"/>
      <c r="V8" s="34"/>
      <c r="W8" s="34"/>
      <c r="X8" s="33"/>
      <c r="Y8" s="33"/>
      <c r="Z8" s="33"/>
      <c r="AA8" s="33"/>
      <c r="AB8" s="34"/>
      <c r="AC8" s="34"/>
      <c r="AD8" s="33"/>
      <c r="AE8" s="33"/>
      <c r="AF8" s="26">
        <f t="shared" si="3"/>
        <v>-851.99571428571426</v>
      </c>
      <c r="AG8" s="27">
        <f t="shared" si="4"/>
        <v>4.2857142857428698E-3</v>
      </c>
    </row>
    <row r="9" spans="1:33" s="11" customFormat="1" ht="23.25" customHeight="1" x14ac:dyDescent="0.2">
      <c r="A9" s="29">
        <v>44118</v>
      </c>
      <c r="B9" s="30"/>
      <c r="C9" s="24" t="s">
        <v>133</v>
      </c>
      <c r="D9" s="24"/>
      <c r="E9" s="24"/>
      <c r="F9" s="25"/>
      <c r="G9" s="25" t="s">
        <v>126</v>
      </c>
      <c r="H9" s="31">
        <v>50</v>
      </c>
      <c r="I9" s="31"/>
      <c r="J9" s="31"/>
      <c r="K9" s="31"/>
      <c r="L9" s="32"/>
      <c r="M9" s="26">
        <f t="shared" si="0"/>
        <v>50</v>
      </c>
      <c r="N9" s="26">
        <f t="shared" si="1"/>
        <v>0</v>
      </c>
      <c r="O9" s="26">
        <f t="shared" si="2"/>
        <v>0</v>
      </c>
      <c r="P9" s="26"/>
      <c r="Q9" s="33"/>
      <c r="R9" s="33"/>
      <c r="S9" s="34"/>
      <c r="T9" s="34"/>
      <c r="U9" s="34"/>
      <c r="V9" s="34"/>
      <c r="W9" s="34"/>
      <c r="X9" s="33"/>
      <c r="Y9" s="33"/>
      <c r="Z9" s="33"/>
      <c r="AA9" s="33">
        <v>50</v>
      </c>
      <c r="AB9" s="34"/>
      <c r="AC9" s="34"/>
      <c r="AD9" s="33"/>
      <c r="AE9" s="33"/>
      <c r="AF9" s="26">
        <f t="shared" si="3"/>
        <v>-50</v>
      </c>
      <c r="AG9" s="27">
        <f t="shared" si="4"/>
        <v>0</v>
      </c>
    </row>
    <row r="10" spans="1:33" s="11" customFormat="1" ht="21.75" customHeight="1" x14ac:dyDescent="0.2">
      <c r="A10" s="29">
        <v>44118</v>
      </c>
      <c r="B10" s="30"/>
      <c r="C10" s="24" t="s">
        <v>138</v>
      </c>
      <c r="D10" s="24"/>
      <c r="E10" s="24"/>
      <c r="F10" s="25"/>
      <c r="G10" s="25" t="s">
        <v>139</v>
      </c>
      <c r="H10" s="31">
        <v>170</v>
      </c>
      <c r="I10" s="31"/>
      <c r="J10" s="31"/>
      <c r="K10" s="31"/>
      <c r="L10" s="32"/>
      <c r="M10" s="26">
        <f t="shared" si="0"/>
        <v>170</v>
      </c>
      <c r="N10" s="26">
        <f t="shared" si="1"/>
        <v>0</v>
      </c>
      <c r="O10" s="26">
        <f t="shared" si="2"/>
        <v>0</v>
      </c>
      <c r="P10" s="26"/>
      <c r="Q10" s="33"/>
      <c r="R10" s="33"/>
      <c r="S10" s="34"/>
      <c r="T10" s="34"/>
      <c r="U10" s="34"/>
      <c r="V10" s="34"/>
      <c r="W10" s="34"/>
      <c r="X10" s="33"/>
      <c r="Y10" s="33"/>
      <c r="Z10" s="33"/>
      <c r="AA10" s="33">
        <v>170</v>
      </c>
      <c r="AB10" s="34"/>
      <c r="AC10" s="34"/>
      <c r="AD10" s="33"/>
      <c r="AE10" s="33"/>
      <c r="AF10" s="26">
        <f t="shared" si="3"/>
        <v>-170</v>
      </c>
      <c r="AG10" s="27">
        <f t="shared" si="4"/>
        <v>0</v>
      </c>
    </row>
    <row r="11" spans="1:33" s="11" customFormat="1" ht="21" customHeight="1" x14ac:dyDescent="0.2">
      <c r="A11" s="29">
        <v>44118</v>
      </c>
      <c r="B11" s="30"/>
      <c r="C11" s="24" t="s">
        <v>38</v>
      </c>
      <c r="D11" s="24"/>
      <c r="E11" s="24"/>
      <c r="F11" s="25">
        <v>235953</v>
      </c>
      <c r="G11" s="25" t="s">
        <v>141</v>
      </c>
      <c r="H11" s="31"/>
      <c r="I11" s="31"/>
      <c r="J11" s="31">
        <v>151.69999999999999</v>
      </c>
      <c r="K11" s="31"/>
      <c r="L11" s="32"/>
      <c r="M11" s="26">
        <f t="shared" ref="M11:M13" si="5">SUM(H11:J11,K11/1.12)</f>
        <v>151.69999999999999</v>
      </c>
      <c r="N11" s="26">
        <f t="shared" ref="N11:N13" si="6">K11/1.12*0.12</f>
        <v>0</v>
      </c>
      <c r="O11" s="26">
        <f t="shared" ref="O11:O13" si="7">-SUM(I11:J11,K11/1.12)*L11</f>
        <v>0</v>
      </c>
      <c r="P11" s="26">
        <v>151.69999999999999</v>
      </c>
      <c r="Q11" s="33"/>
      <c r="R11" s="33"/>
      <c r="S11" s="34"/>
      <c r="T11" s="34"/>
      <c r="U11" s="34"/>
      <c r="V11" s="34"/>
      <c r="W11" s="34"/>
      <c r="X11" s="33"/>
      <c r="Y11" s="33"/>
      <c r="Z11" s="33"/>
      <c r="AA11" s="33"/>
      <c r="AB11" s="34"/>
      <c r="AC11" s="34"/>
      <c r="AD11" s="33"/>
      <c r="AE11" s="33"/>
      <c r="AF11" s="26">
        <f t="shared" ref="AF11:AF12" si="8">-SUM(N11:AE11)</f>
        <v>-151.69999999999999</v>
      </c>
      <c r="AG11" s="27">
        <f t="shared" ref="AG11:AG12" si="9">SUM(H11:K11)+AF11+O11</f>
        <v>0</v>
      </c>
    </row>
    <row r="12" spans="1:33" s="11" customFormat="1" ht="18.75" customHeight="1" x14ac:dyDescent="0.2">
      <c r="A12" s="29">
        <v>44118</v>
      </c>
      <c r="B12" s="30"/>
      <c r="C12" s="24" t="s">
        <v>38</v>
      </c>
      <c r="D12" s="24"/>
      <c r="E12" s="24"/>
      <c r="F12" s="25">
        <v>235953</v>
      </c>
      <c r="G12" s="25" t="s">
        <v>140</v>
      </c>
      <c r="H12" s="31"/>
      <c r="I12" s="31"/>
      <c r="J12" s="31"/>
      <c r="K12" s="31">
        <f>2026.7+243.2</f>
        <v>2269.9</v>
      </c>
      <c r="L12" s="32"/>
      <c r="M12" s="26">
        <f t="shared" si="5"/>
        <v>2026.6964285714284</v>
      </c>
      <c r="N12" s="26">
        <f t="shared" si="6"/>
        <v>243.20357142857139</v>
      </c>
      <c r="O12" s="26">
        <f t="shared" si="7"/>
        <v>0</v>
      </c>
      <c r="P12" s="26">
        <v>2026.7</v>
      </c>
      <c r="Q12" s="33"/>
      <c r="R12" s="33"/>
      <c r="S12" s="34"/>
      <c r="T12" s="34"/>
      <c r="U12" s="34"/>
      <c r="V12" s="34"/>
      <c r="W12" s="34"/>
      <c r="X12" s="33"/>
      <c r="Y12" s="33"/>
      <c r="Z12" s="33"/>
      <c r="AA12" s="33"/>
      <c r="AB12" s="34"/>
      <c r="AC12" s="34"/>
      <c r="AD12" s="33"/>
      <c r="AE12" s="33"/>
      <c r="AF12" s="26">
        <f t="shared" si="8"/>
        <v>-2269.9035714285715</v>
      </c>
      <c r="AG12" s="27">
        <f t="shared" si="9"/>
        <v>-3.5714285713766003E-3</v>
      </c>
    </row>
    <row r="13" spans="1:33" s="11" customFormat="1" ht="23.25" customHeight="1" x14ac:dyDescent="0.2">
      <c r="A13" s="29">
        <v>44118</v>
      </c>
      <c r="B13" s="30"/>
      <c r="C13" s="24" t="s">
        <v>142</v>
      </c>
      <c r="D13" s="24"/>
      <c r="E13" s="24"/>
      <c r="F13" s="25">
        <v>654654</v>
      </c>
      <c r="G13" s="25" t="s">
        <v>143</v>
      </c>
      <c r="H13" s="31"/>
      <c r="I13" s="31"/>
      <c r="J13" s="31"/>
      <c r="K13" s="31">
        <v>130</v>
      </c>
      <c r="L13" s="32"/>
      <c r="M13" s="26">
        <f t="shared" si="5"/>
        <v>116.07142857142856</v>
      </c>
      <c r="N13" s="26">
        <f t="shared" si="6"/>
        <v>13.928571428571425</v>
      </c>
      <c r="O13" s="26">
        <f t="shared" si="7"/>
        <v>0</v>
      </c>
      <c r="P13" s="26"/>
      <c r="Q13" s="33"/>
      <c r="R13" s="33">
        <v>116.07</v>
      </c>
      <c r="S13" s="34"/>
      <c r="T13" s="34"/>
      <c r="U13" s="34"/>
      <c r="V13" s="34"/>
      <c r="W13" s="34"/>
      <c r="X13" s="33"/>
      <c r="Y13" s="33"/>
      <c r="Z13" s="33"/>
      <c r="AA13" s="33"/>
      <c r="AB13" s="34"/>
      <c r="AC13" s="34"/>
      <c r="AD13" s="33"/>
      <c r="AE13" s="33"/>
      <c r="AF13" s="26">
        <f t="shared" si="3"/>
        <v>-129.99857142857141</v>
      </c>
      <c r="AG13" s="27">
        <f t="shared" si="4"/>
        <v>1.4285714285904305E-3</v>
      </c>
    </row>
    <row r="14" spans="1:33" s="11" customFormat="1" ht="23.25" customHeight="1" x14ac:dyDescent="0.2">
      <c r="A14" s="29"/>
      <c r="B14" s="30"/>
      <c r="C14" s="24"/>
      <c r="D14" s="24"/>
      <c r="E14" s="24"/>
      <c r="F14" s="25"/>
      <c r="G14" s="25"/>
      <c r="H14" s="31"/>
      <c r="I14" s="31"/>
      <c r="J14" s="31"/>
      <c r="K14" s="31"/>
      <c r="L14" s="32"/>
      <c r="M14" s="26">
        <f t="shared" si="0"/>
        <v>0</v>
      </c>
      <c r="N14" s="26">
        <f t="shared" si="1"/>
        <v>0</v>
      </c>
      <c r="O14" s="26">
        <f t="shared" si="2"/>
        <v>0</v>
      </c>
      <c r="P14" s="26"/>
      <c r="Q14" s="33"/>
      <c r="R14" s="33"/>
      <c r="S14" s="34"/>
      <c r="T14" s="34"/>
      <c r="U14" s="34"/>
      <c r="V14" s="34"/>
      <c r="W14" s="34"/>
      <c r="X14" s="33"/>
      <c r="Y14" s="33"/>
      <c r="Z14" s="33"/>
      <c r="AA14" s="33"/>
      <c r="AB14" s="34"/>
      <c r="AC14" s="34"/>
      <c r="AD14" s="33"/>
      <c r="AE14" s="33"/>
      <c r="AF14" s="26">
        <f t="shared" ref="AF14:AF15" si="10">-SUM(N14:AE14)</f>
        <v>0</v>
      </c>
      <c r="AG14" s="27">
        <f t="shared" si="4"/>
        <v>0</v>
      </c>
    </row>
    <row r="15" spans="1:33" s="11" customFormat="1" ht="12" thickBot="1" x14ac:dyDescent="0.25">
      <c r="A15" s="29"/>
      <c r="B15" s="30"/>
      <c r="C15" s="35"/>
      <c r="D15" s="35"/>
      <c r="E15" s="35"/>
      <c r="F15" s="25"/>
      <c r="G15" s="28"/>
      <c r="H15" s="31"/>
      <c r="I15" s="31"/>
      <c r="J15" s="31"/>
      <c r="K15" s="31"/>
      <c r="L15" s="32"/>
      <c r="M15" s="33">
        <f>SUM(H15:J15,K15/1.12)</f>
        <v>0</v>
      </c>
      <c r="N15" s="33">
        <f>K15/1.12*0.12</f>
        <v>0</v>
      </c>
      <c r="O15" s="33">
        <f>-SUM(I15:J15,K15/1.12)*L15</f>
        <v>0</v>
      </c>
      <c r="P15" s="33"/>
      <c r="Q15" s="33"/>
      <c r="R15" s="33"/>
      <c r="S15" s="33"/>
      <c r="T15" s="34"/>
      <c r="U15" s="43">
        <f>SUM(U4:U14)</f>
        <v>0</v>
      </c>
      <c r="V15" s="34"/>
      <c r="W15" s="34"/>
      <c r="X15" s="34"/>
      <c r="Y15" s="36"/>
      <c r="Z15" s="33"/>
      <c r="AA15" s="43"/>
      <c r="AB15" s="33"/>
      <c r="AC15" s="34"/>
      <c r="AD15" s="34"/>
      <c r="AE15" s="37"/>
      <c r="AF15" s="26">
        <f t="shared" si="10"/>
        <v>0</v>
      </c>
      <c r="AG15" s="27">
        <f t="shared" si="4"/>
        <v>0</v>
      </c>
    </row>
    <row r="16" spans="1:33" s="9" customFormat="1" ht="12.75" thickTop="1" thickBot="1" x14ac:dyDescent="0.25">
      <c r="A16" s="38"/>
      <c r="B16" s="39"/>
      <c r="C16" s="40"/>
      <c r="D16" s="41"/>
      <c r="E16" s="41"/>
      <c r="F16" s="42"/>
      <c r="G16" s="40"/>
      <c r="H16" s="43">
        <f>SUM(H5:H15)</f>
        <v>270</v>
      </c>
      <c r="I16" s="43">
        <f>SUM(I9:I15)</f>
        <v>0</v>
      </c>
      <c r="J16" s="43">
        <f>SUM(J5:J15)</f>
        <v>1301.7</v>
      </c>
      <c r="K16" s="43">
        <f>SUM(K5:K15)</f>
        <v>3381.9</v>
      </c>
      <c r="L16" s="43">
        <f>SUM(L9:L15)</f>
        <v>0</v>
      </c>
      <c r="M16" s="43">
        <f>SUM(M5:M15)</f>
        <v>4591.2535714285705</v>
      </c>
      <c r="N16" s="43">
        <f>SUM(N5:N15)</f>
        <v>362.34642857142853</v>
      </c>
      <c r="O16" s="43">
        <f>SUM(O9:O15)</f>
        <v>0</v>
      </c>
      <c r="P16" s="43">
        <f>SUM(P5:P15)</f>
        <v>3328.4</v>
      </c>
      <c r="Q16" s="43">
        <f>SUM(Q5:Q15)</f>
        <v>0</v>
      </c>
      <c r="R16" s="43">
        <f>SUM(R5:R15)</f>
        <v>876.78</v>
      </c>
      <c r="S16" s="43">
        <f>SUM(S5:S15)</f>
        <v>0</v>
      </c>
      <c r="T16" s="43">
        <f>SUM(T5:T15)</f>
        <v>116.07</v>
      </c>
      <c r="U16" s="43">
        <f>SUM(U5:U15)</f>
        <v>0</v>
      </c>
      <c r="V16" s="43">
        <f>SUM(V9:V15)</f>
        <v>0</v>
      </c>
      <c r="W16" s="43">
        <f>SUM(W9:W15)</f>
        <v>0</v>
      </c>
      <c r="X16" s="43">
        <f>SUM(X9:X15)</f>
        <v>0</v>
      </c>
      <c r="Y16" s="43">
        <f>SUM(Y9:Y15)</f>
        <v>0</v>
      </c>
      <c r="Z16" s="43">
        <f>SUM(Z9:Z15)</f>
        <v>0</v>
      </c>
      <c r="AA16" s="43">
        <f>SUM(AA5:AA15)</f>
        <v>270</v>
      </c>
      <c r="AB16" s="43">
        <f>SUM(AB9:AB15)</f>
        <v>0</v>
      </c>
      <c r="AC16" s="43">
        <f>SUM(AC9:AC15)</f>
        <v>0</v>
      </c>
      <c r="AD16" s="43">
        <f>SUM(AD9:AD15)</f>
        <v>0</v>
      </c>
      <c r="AE16" s="43">
        <f>SUM(AE9:AE15)</f>
        <v>0</v>
      </c>
      <c r="AF16" s="43">
        <f>SUM(AF5:AF15)</f>
        <v>-4953.5964285714281</v>
      </c>
      <c r="AG16" s="43">
        <f>SUM(AG9:AG15)</f>
        <v>-2.1428571427861698E-3</v>
      </c>
    </row>
    <row r="17" spans="1:32" s="81" customFormat="1" ht="12" thickTop="1" x14ac:dyDescent="0.2"/>
    <row r="18" spans="1:32" ht="12" x14ac:dyDescent="0.2">
      <c r="K18" s="44">
        <f>H16+J16+K16</f>
        <v>4953.6000000000004</v>
      </c>
      <c r="L18" s="8"/>
      <c r="M18" s="7"/>
      <c r="AF18" s="45">
        <f>+AF16</f>
        <v>-4953.5964285714281</v>
      </c>
    </row>
    <row r="19" spans="1:32" ht="12" x14ac:dyDescent="0.2">
      <c r="K19" s="44"/>
      <c r="L19" s="8"/>
      <c r="M19" s="7"/>
      <c r="AF19" s="45"/>
    </row>
    <row r="20" spans="1:32" ht="12" x14ac:dyDescent="0.2">
      <c r="K20" s="44"/>
      <c r="L20" s="8"/>
      <c r="M20" s="7"/>
      <c r="AF20" s="45"/>
    </row>
    <row r="21" spans="1:32" x14ac:dyDescent="0.2">
      <c r="K21" s="7"/>
      <c r="L21" s="8"/>
      <c r="M21" s="7"/>
    </row>
    <row r="22" spans="1:32" ht="12.75" x14ac:dyDescent="0.2">
      <c r="C22" s="46" t="s">
        <v>121</v>
      </c>
      <c r="G22" s="9"/>
      <c r="J22" s="48" t="s">
        <v>48</v>
      </c>
      <c r="K22" s="50">
        <f>J5+J11+K12</f>
        <v>3571.6000000000004</v>
      </c>
      <c r="L22" s="47"/>
      <c r="M22" s="47"/>
      <c r="N22" s="45"/>
      <c r="O22" s="45"/>
      <c r="P22" s="45"/>
      <c r="Q22" s="45"/>
    </row>
    <row r="23" spans="1:32" ht="12.75" x14ac:dyDescent="0.2">
      <c r="C23" s="46"/>
      <c r="G23" s="9"/>
      <c r="J23" s="48" t="s">
        <v>53</v>
      </c>
      <c r="K23" s="50">
        <f>K7</f>
        <v>130</v>
      </c>
      <c r="L23" s="47"/>
      <c r="M23" s="47"/>
      <c r="N23" s="45"/>
      <c r="O23" s="45"/>
      <c r="P23" s="45"/>
      <c r="Q23" s="45"/>
    </row>
    <row r="24" spans="1:32" ht="12.75" x14ac:dyDescent="0.2">
      <c r="J24" s="48" t="s">
        <v>49</v>
      </c>
      <c r="K24" s="49">
        <f>K8+K13</f>
        <v>982</v>
      </c>
      <c r="L24" s="8"/>
      <c r="M24" s="7"/>
    </row>
    <row r="25" spans="1:32" ht="12.75" x14ac:dyDescent="0.2">
      <c r="J25" s="48" t="s">
        <v>50</v>
      </c>
      <c r="K25" s="49">
        <f>H6+H9+H10</f>
        <v>270</v>
      </c>
      <c r="L25" s="8"/>
      <c r="M25" s="7"/>
    </row>
    <row r="26" spans="1:32" ht="12.75" x14ac:dyDescent="0.2">
      <c r="A26" s="1"/>
      <c r="B26" s="1"/>
      <c r="D26" s="1"/>
      <c r="E26" s="1"/>
      <c r="F26" s="1"/>
      <c r="H26" s="1"/>
      <c r="I26" s="1"/>
      <c r="J26" s="51" t="s">
        <v>51</v>
      </c>
      <c r="K26" s="52">
        <f>SUM(K22:K25)</f>
        <v>4953.6000000000004</v>
      </c>
      <c r="L26" s="8"/>
      <c r="M26" s="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Z26" s="1"/>
      <c r="AA26" s="1"/>
      <c r="AB26" s="1"/>
      <c r="AC26" s="1"/>
      <c r="AD26" s="1"/>
      <c r="AE26" s="1"/>
      <c r="AF26" s="1"/>
    </row>
    <row r="27" spans="1:32" ht="12" x14ac:dyDescent="0.2">
      <c r="J27" s="45" t="s">
        <v>144</v>
      </c>
      <c r="K27" s="45">
        <v>5000</v>
      </c>
    </row>
    <row r="28" spans="1:32" ht="12" x14ac:dyDescent="0.2">
      <c r="H28" s="59"/>
      <c r="I28" s="59"/>
      <c r="J28" s="59" t="s">
        <v>42</v>
      </c>
      <c r="K28" s="59">
        <f>K26-K27</f>
        <v>-46.399999999999636</v>
      </c>
      <c r="L28" s="71"/>
      <c r="M28" s="72"/>
    </row>
    <row r="29" spans="1:32" ht="12" x14ac:dyDescent="0.2">
      <c r="H29" s="59"/>
      <c r="I29" s="59"/>
      <c r="J29" s="59"/>
      <c r="K29" s="59"/>
    </row>
    <row r="30" spans="1:32" ht="12" x14ac:dyDescent="0.2">
      <c r="H30" s="59"/>
      <c r="I30" s="59"/>
      <c r="J30" s="59"/>
      <c r="K30" s="59"/>
    </row>
    <row r="31" spans="1:32" ht="12" x14ac:dyDescent="0.2">
      <c r="H31" s="59"/>
      <c r="I31" s="59"/>
      <c r="J31" s="59"/>
      <c r="K31" s="59"/>
    </row>
    <row r="32" spans="1:32" ht="12" x14ac:dyDescent="0.2">
      <c r="H32" s="59"/>
      <c r="I32" s="59"/>
      <c r="J32" s="59"/>
      <c r="K32" s="59"/>
    </row>
    <row r="33" spans="1:32" ht="12" x14ac:dyDescent="0.2">
      <c r="H33" s="59"/>
      <c r="I33" s="59"/>
      <c r="J33" s="59"/>
      <c r="K33" s="59"/>
      <c r="Q33" s="2">
        <v>0</v>
      </c>
    </row>
    <row r="34" spans="1:32" ht="12" x14ac:dyDescent="0.2">
      <c r="A34" s="1"/>
      <c r="B34" s="1"/>
      <c r="D34" s="1"/>
      <c r="E34" s="1"/>
      <c r="F34" s="1"/>
      <c r="H34" s="60"/>
      <c r="I34" s="60"/>
      <c r="J34" s="60"/>
      <c r="K34" s="60"/>
      <c r="L34" s="1"/>
      <c r="M34" s="1"/>
      <c r="N34" s="1"/>
      <c r="O34" s="1"/>
      <c r="P34" s="1"/>
      <c r="Q34" s="1"/>
      <c r="R34" s="1"/>
      <c r="S34" s="1"/>
      <c r="Z34" s="1"/>
      <c r="AA34" s="1"/>
      <c r="AB34" s="1"/>
      <c r="AC34" s="1"/>
      <c r="AD34" s="1"/>
      <c r="AE34" s="1"/>
      <c r="AF34" s="1"/>
    </row>
    <row r="35" spans="1:32" ht="12" x14ac:dyDescent="0.2">
      <c r="H35" s="59"/>
      <c r="I35" s="59"/>
      <c r="J35" s="59"/>
      <c r="K35" s="59"/>
    </row>
    <row r="36" spans="1:32" ht="12" x14ac:dyDescent="0.2">
      <c r="H36" s="59"/>
      <c r="I36" s="59"/>
      <c r="J36" s="59"/>
      <c r="K36" s="59"/>
    </row>
    <row r="37" spans="1:32" ht="12" x14ac:dyDescent="0.2">
      <c r="H37" s="59"/>
      <c r="I37" s="59"/>
      <c r="J37" s="59"/>
      <c r="K37" s="59"/>
    </row>
    <row r="38" spans="1:32" ht="12" x14ac:dyDescent="0.2">
      <c r="H38" s="59"/>
      <c r="I38" s="59"/>
      <c r="J38" s="59"/>
      <c r="K38" s="59"/>
    </row>
    <row r="39" spans="1:32" x14ac:dyDescent="0.2">
      <c r="H39" s="61"/>
      <c r="I39" s="61"/>
      <c r="J39" s="61"/>
      <c r="K39" s="61"/>
    </row>
    <row r="40" spans="1:32" x14ac:dyDescent="0.2">
      <c r="H40" s="61"/>
      <c r="I40" s="61"/>
      <c r="J40" s="61"/>
      <c r="K40" s="61"/>
    </row>
    <row r="41" spans="1:32" x14ac:dyDescent="0.2">
      <c r="H41" s="61"/>
      <c r="I41" s="61"/>
      <c r="J41" s="61"/>
      <c r="K41" s="61"/>
    </row>
    <row r="42" spans="1:32" x14ac:dyDescent="0.2">
      <c r="H42" s="61"/>
      <c r="I42" s="61"/>
      <c r="J42" s="61"/>
      <c r="K42" s="61"/>
    </row>
    <row r="43" spans="1:32" x14ac:dyDescent="0.2">
      <c r="H43" s="61"/>
      <c r="I43" s="61"/>
      <c r="J43" s="61"/>
      <c r="K43" s="61"/>
    </row>
  </sheetData>
  <mergeCells count="1">
    <mergeCell ref="A17:XFD17"/>
  </mergeCells>
  <pageMargins left="0.7" right="0.7" top="0.75" bottom="0.75" header="0.3" footer="0.3"/>
  <pageSetup paperSize="5" scale="90"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workbookViewId="0">
      <selection activeCell="C17" sqref="C17"/>
    </sheetView>
  </sheetViews>
  <sheetFormatPr defaultRowHeight="11.25" x14ac:dyDescent="0.2"/>
  <cols>
    <col min="1" max="1" width="8.140625" style="70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11.140625" style="2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8.5703125" style="2" customWidth="1"/>
    <col min="15" max="15" width="9" style="2" hidden="1" customWidth="1"/>
    <col min="16" max="16" width="9.85546875" style="2" customWidth="1"/>
    <col min="17" max="17" width="10.85546875" style="2" customWidth="1"/>
    <col min="18" max="18" width="10.7109375" style="2" customWidth="1"/>
    <col min="19" max="19" width="9.5703125" style="2" hidden="1" customWidth="1"/>
    <col min="20" max="20" width="9.140625" style="2" customWidth="1"/>
    <col min="21" max="21" width="9.140625" style="2" hidden="1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hidden="1" customWidth="1"/>
    <col min="26" max="26" width="8.28515625" style="2" hidden="1" customWidth="1"/>
    <col min="27" max="27" width="8.7109375" style="2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3" ht="12" customHeight="1" x14ac:dyDescent="0.2">
      <c r="A1" s="12" t="s">
        <v>30</v>
      </c>
      <c r="C1" s="13"/>
    </row>
    <row r="2" spans="1:33" ht="12" customHeight="1" x14ac:dyDescent="0.2">
      <c r="A2" s="12" t="s">
        <v>26</v>
      </c>
    </row>
    <row r="3" spans="1:33" ht="12" customHeight="1" x14ac:dyDescent="0.2">
      <c r="A3" s="12" t="s">
        <v>130</v>
      </c>
      <c r="B3" s="13"/>
      <c r="C3" s="14"/>
      <c r="N3" s="15">
        <v>1301</v>
      </c>
      <c r="O3" s="15">
        <v>2402</v>
      </c>
      <c r="P3" s="15">
        <v>5001</v>
      </c>
      <c r="Q3" s="15">
        <v>5002</v>
      </c>
      <c r="R3" s="15">
        <v>6220</v>
      </c>
      <c r="S3" s="15">
        <v>6219</v>
      </c>
      <c r="T3" s="15">
        <v>6212</v>
      </c>
      <c r="U3" s="15"/>
      <c r="V3" s="15"/>
      <c r="W3" s="15"/>
      <c r="X3" s="15"/>
      <c r="Y3" s="15" t="s">
        <v>25</v>
      </c>
      <c r="Z3" s="15"/>
      <c r="AA3" s="15">
        <v>6230</v>
      </c>
      <c r="AB3" s="15" t="s">
        <v>24</v>
      </c>
      <c r="AC3" s="15">
        <v>6202</v>
      </c>
      <c r="AD3" s="15"/>
      <c r="AE3" s="15">
        <v>6109</v>
      </c>
      <c r="AF3" s="15">
        <v>1002</v>
      </c>
    </row>
    <row r="4" spans="1:33" s="10" customFormat="1" ht="44.25" customHeight="1" x14ac:dyDescent="0.25">
      <c r="A4" s="16" t="s">
        <v>23</v>
      </c>
      <c r="B4" s="17" t="s">
        <v>22</v>
      </c>
      <c r="C4" s="18" t="s">
        <v>21</v>
      </c>
      <c r="D4" s="18" t="s">
        <v>20</v>
      </c>
      <c r="E4" s="18" t="s">
        <v>27</v>
      </c>
      <c r="F4" s="18" t="s">
        <v>19</v>
      </c>
      <c r="G4" s="18" t="s">
        <v>18</v>
      </c>
      <c r="H4" s="18" t="s">
        <v>17</v>
      </c>
      <c r="I4" s="18" t="s">
        <v>16</v>
      </c>
      <c r="J4" s="18" t="s">
        <v>15</v>
      </c>
      <c r="K4" s="18" t="s">
        <v>14</v>
      </c>
      <c r="L4" s="19" t="s">
        <v>13</v>
      </c>
      <c r="M4" s="18" t="s">
        <v>12</v>
      </c>
      <c r="N4" s="20" t="s">
        <v>11</v>
      </c>
      <c r="O4" s="20" t="s">
        <v>10</v>
      </c>
      <c r="P4" s="20" t="s">
        <v>9</v>
      </c>
      <c r="Q4" s="20" t="s">
        <v>8</v>
      </c>
      <c r="R4" s="20" t="s">
        <v>31</v>
      </c>
      <c r="S4" s="20" t="s">
        <v>52</v>
      </c>
      <c r="T4" s="20" t="s">
        <v>7</v>
      </c>
      <c r="U4" s="20" t="s">
        <v>28</v>
      </c>
      <c r="V4" s="20" t="s">
        <v>32</v>
      </c>
      <c r="W4" s="20" t="s">
        <v>33</v>
      </c>
      <c r="X4" s="20" t="s">
        <v>34</v>
      </c>
      <c r="Y4" s="20" t="s">
        <v>6</v>
      </c>
      <c r="Z4" s="20" t="s">
        <v>29</v>
      </c>
      <c r="AA4" s="20" t="s">
        <v>5</v>
      </c>
      <c r="AB4" s="20" t="s">
        <v>4</v>
      </c>
      <c r="AC4" s="21" t="s">
        <v>3</v>
      </c>
      <c r="AD4" s="20" t="s">
        <v>1</v>
      </c>
      <c r="AE4" s="22" t="s">
        <v>2</v>
      </c>
      <c r="AF4" s="23" t="s">
        <v>0</v>
      </c>
    </row>
    <row r="5" spans="1:33" s="10" customFormat="1" ht="20.25" customHeight="1" x14ac:dyDescent="0.2">
      <c r="A5" s="62">
        <v>44119</v>
      </c>
      <c r="B5" s="17"/>
      <c r="C5" s="24" t="s">
        <v>95</v>
      </c>
      <c r="D5" s="18"/>
      <c r="E5" s="18"/>
      <c r="F5" s="63"/>
      <c r="G5" s="63" t="s">
        <v>145</v>
      </c>
      <c r="H5" s="63"/>
      <c r="I5" s="63"/>
      <c r="J5" s="65">
        <v>184.14</v>
      </c>
      <c r="K5" s="65"/>
      <c r="L5" s="64"/>
      <c r="M5" s="26">
        <f t="shared" ref="M5:M20" si="0">SUM(H5:J5,K5/1.12)</f>
        <v>184.14</v>
      </c>
      <c r="N5" s="26">
        <f t="shared" ref="N5:N20" si="1">K5/1.12*0.12</f>
        <v>0</v>
      </c>
      <c r="O5" s="26">
        <f t="shared" ref="O5:O20" si="2">-SUM(I5:J5,K5/1.12)*L5</f>
        <v>0</v>
      </c>
      <c r="P5" s="26">
        <v>184.14</v>
      </c>
      <c r="Q5" s="33"/>
      <c r="R5" s="33"/>
      <c r="S5" s="34"/>
      <c r="T5" s="34"/>
      <c r="U5" s="34"/>
      <c r="V5" s="34"/>
      <c r="W5" s="34"/>
      <c r="X5" s="33"/>
      <c r="Y5" s="33"/>
      <c r="Z5" s="33"/>
      <c r="AA5" s="33"/>
      <c r="AB5" s="34"/>
      <c r="AC5" s="34"/>
      <c r="AD5" s="33"/>
      <c r="AE5" s="33"/>
      <c r="AF5" s="26">
        <f t="shared" ref="AF5:AF16" si="3">-SUM(N5:AE5)</f>
        <v>-184.14</v>
      </c>
      <c r="AG5" s="27">
        <f t="shared" ref="AG5:AG21" si="4">SUM(H5:K5)+AF5+O5</f>
        <v>0</v>
      </c>
    </row>
    <row r="6" spans="1:33" s="10" customFormat="1" ht="18" customHeight="1" x14ac:dyDescent="0.2">
      <c r="A6" s="62">
        <v>44119</v>
      </c>
      <c r="B6" s="17"/>
      <c r="C6" s="24" t="s">
        <v>95</v>
      </c>
      <c r="D6" s="18"/>
      <c r="E6" s="18"/>
      <c r="F6" s="18"/>
      <c r="G6" s="63" t="s">
        <v>146</v>
      </c>
      <c r="H6" s="65"/>
      <c r="I6" s="18"/>
      <c r="J6" s="18"/>
      <c r="K6" s="65">
        <f>237+156</f>
        <v>393</v>
      </c>
      <c r="L6" s="19"/>
      <c r="M6" s="26">
        <f t="shared" si="0"/>
        <v>350.89285714285711</v>
      </c>
      <c r="N6" s="26">
        <f t="shared" si="1"/>
        <v>42.107142857142854</v>
      </c>
      <c r="O6" s="26">
        <f t="shared" si="2"/>
        <v>0</v>
      </c>
      <c r="P6" s="26">
        <v>350.89</v>
      </c>
      <c r="Q6" s="33"/>
      <c r="R6" s="33"/>
      <c r="S6" s="34"/>
      <c r="T6" s="34"/>
      <c r="U6" s="34"/>
      <c r="V6" s="34"/>
      <c r="W6" s="34"/>
      <c r="X6" s="33"/>
      <c r="Y6" s="33"/>
      <c r="Z6" s="33"/>
      <c r="AA6" s="33"/>
      <c r="AB6" s="34"/>
      <c r="AC6" s="34"/>
      <c r="AD6" s="33"/>
      <c r="AE6" s="33"/>
      <c r="AF6" s="26">
        <f t="shared" si="3"/>
        <v>-392.99714285714282</v>
      </c>
      <c r="AG6" s="27">
        <f t="shared" si="4"/>
        <v>2.857142857180861E-3</v>
      </c>
    </row>
    <row r="7" spans="1:33" s="10" customFormat="1" ht="21.75" customHeight="1" x14ac:dyDescent="0.2">
      <c r="A7" s="62">
        <v>44119</v>
      </c>
      <c r="B7" s="17"/>
      <c r="C7" s="24" t="s">
        <v>95</v>
      </c>
      <c r="D7" s="63"/>
      <c r="E7" s="63"/>
      <c r="F7" s="63"/>
      <c r="G7" s="63" t="s">
        <v>147</v>
      </c>
      <c r="H7" s="65"/>
      <c r="I7" s="63"/>
      <c r="J7" s="63">
        <f>26.73+28.51+29.3</f>
        <v>84.54</v>
      </c>
      <c r="K7" s="65"/>
      <c r="L7" s="19"/>
      <c r="M7" s="26">
        <f t="shared" si="0"/>
        <v>84.54</v>
      </c>
      <c r="N7" s="26">
        <f t="shared" si="1"/>
        <v>0</v>
      </c>
      <c r="O7" s="26">
        <f t="shared" si="2"/>
        <v>0</v>
      </c>
      <c r="P7" s="26">
        <v>84.54</v>
      </c>
      <c r="Q7" s="33"/>
      <c r="R7" s="33"/>
      <c r="S7" s="34"/>
      <c r="T7" s="34"/>
      <c r="U7" s="34"/>
      <c r="V7" s="34"/>
      <c r="W7" s="34"/>
      <c r="X7" s="33"/>
      <c r="Y7" s="33"/>
      <c r="Z7" s="33"/>
      <c r="AA7" s="33"/>
      <c r="AB7" s="34"/>
      <c r="AC7" s="34"/>
      <c r="AD7" s="33"/>
      <c r="AE7" s="33"/>
      <c r="AF7" s="26">
        <f t="shared" si="3"/>
        <v>-84.54</v>
      </c>
      <c r="AG7" s="27">
        <f t="shared" si="4"/>
        <v>0</v>
      </c>
    </row>
    <row r="8" spans="1:33" s="10" customFormat="1" ht="25.5" customHeight="1" x14ac:dyDescent="0.2">
      <c r="A8" s="62">
        <v>44120</v>
      </c>
      <c r="B8" s="66"/>
      <c r="C8" s="24" t="s">
        <v>38</v>
      </c>
      <c r="D8" s="63"/>
      <c r="E8" s="63"/>
      <c r="F8" s="63"/>
      <c r="G8" s="63" t="s">
        <v>148</v>
      </c>
      <c r="H8" s="63"/>
      <c r="I8" s="63"/>
      <c r="J8" s="75">
        <v>385.2</v>
      </c>
      <c r="K8" s="65"/>
      <c r="L8" s="19"/>
      <c r="M8" s="26">
        <f t="shared" si="0"/>
        <v>385.2</v>
      </c>
      <c r="N8" s="26">
        <f t="shared" si="1"/>
        <v>0</v>
      </c>
      <c r="O8" s="26">
        <f t="shared" si="2"/>
        <v>0</v>
      </c>
      <c r="P8" s="26">
        <v>385.2</v>
      </c>
      <c r="Q8" s="33"/>
      <c r="R8" s="33"/>
      <c r="S8" s="34"/>
      <c r="T8" s="34"/>
      <c r="U8" s="34"/>
      <c r="V8" s="34"/>
      <c r="W8" s="34"/>
      <c r="X8" s="33"/>
      <c r="Y8" s="33"/>
      <c r="Z8" s="33"/>
      <c r="AA8" s="33"/>
      <c r="AB8" s="34"/>
      <c r="AC8" s="34"/>
      <c r="AD8" s="33"/>
      <c r="AE8" s="33"/>
      <c r="AF8" s="26">
        <f t="shared" si="3"/>
        <v>-385.2</v>
      </c>
      <c r="AG8" s="27">
        <f t="shared" si="4"/>
        <v>0</v>
      </c>
    </row>
    <row r="9" spans="1:33" s="11" customFormat="1" ht="23.25" customHeight="1" x14ac:dyDescent="0.2">
      <c r="A9" s="62">
        <v>44120</v>
      </c>
      <c r="B9" s="66"/>
      <c r="C9" s="24" t="s">
        <v>38</v>
      </c>
      <c r="D9" s="24"/>
      <c r="E9" s="24"/>
      <c r="F9" s="25"/>
      <c r="G9" s="25" t="s">
        <v>149</v>
      </c>
      <c r="H9" s="31"/>
      <c r="I9" s="31"/>
      <c r="J9" s="31"/>
      <c r="K9" s="31">
        <f>4414.1-J8</f>
        <v>4028.9000000000005</v>
      </c>
      <c r="L9" s="32"/>
      <c r="M9" s="26">
        <f t="shared" si="0"/>
        <v>3597.2321428571431</v>
      </c>
      <c r="N9" s="26">
        <f t="shared" si="1"/>
        <v>431.66785714285714</v>
      </c>
      <c r="O9" s="26">
        <f t="shared" si="2"/>
        <v>0</v>
      </c>
      <c r="P9" s="26">
        <v>3597.23</v>
      </c>
      <c r="Q9" s="33"/>
      <c r="R9" s="33"/>
      <c r="S9" s="34"/>
      <c r="T9" s="34"/>
      <c r="U9" s="34"/>
      <c r="V9" s="34"/>
      <c r="W9" s="34"/>
      <c r="X9" s="33"/>
      <c r="Y9" s="33"/>
      <c r="Z9" s="33"/>
      <c r="AA9" s="33"/>
      <c r="AB9" s="34"/>
      <c r="AC9" s="34"/>
      <c r="AD9" s="33"/>
      <c r="AE9" s="33"/>
      <c r="AF9" s="26">
        <f t="shared" si="3"/>
        <v>-4028.897857142857</v>
      </c>
      <c r="AG9" s="27">
        <f t="shared" si="4"/>
        <v>2.1428571435535559E-3</v>
      </c>
    </row>
    <row r="10" spans="1:33" s="11" customFormat="1" ht="21.75" customHeight="1" x14ac:dyDescent="0.2">
      <c r="A10" s="62">
        <v>44120</v>
      </c>
      <c r="B10" s="30"/>
      <c r="C10" s="24" t="s">
        <v>150</v>
      </c>
      <c r="D10" s="24"/>
      <c r="E10" s="24"/>
      <c r="F10" s="25"/>
      <c r="G10" s="25" t="s">
        <v>151</v>
      </c>
      <c r="H10" s="31">
        <v>70</v>
      </c>
      <c r="I10" s="31"/>
      <c r="J10" s="31"/>
      <c r="K10" s="31"/>
      <c r="L10" s="32"/>
      <c r="M10" s="26">
        <f t="shared" si="0"/>
        <v>70</v>
      </c>
      <c r="N10" s="26">
        <f t="shared" si="1"/>
        <v>0</v>
      </c>
      <c r="O10" s="26">
        <f t="shared" si="2"/>
        <v>0</v>
      </c>
      <c r="P10" s="26"/>
      <c r="Q10" s="33"/>
      <c r="R10" s="33"/>
      <c r="S10" s="34"/>
      <c r="T10" s="34"/>
      <c r="U10" s="34"/>
      <c r="V10" s="34"/>
      <c r="W10" s="34"/>
      <c r="X10" s="33"/>
      <c r="Y10" s="33"/>
      <c r="Z10" s="33"/>
      <c r="AA10" s="33">
        <v>70</v>
      </c>
      <c r="AB10" s="34"/>
      <c r="AC10" s="34"/>
      <c r="AD10" s="33"/>
      <c r="AE10" s="33"/>
      <c r="AF10" s="26">
        <f t="shared" si="3"/>
        <v>-70</v>
      </c>
      <c r="AG10" s="27">
        <f t="shared" si="4"/>
        <v>0</v>
      </c>
    </row>
    <row r="11" spans="1:33" s="11" customFormat="1" ht="21" customHeight="1" x14ac:dyDescent="0.2">
      <c r="A11" s="62">
        <v>44120</v>
      </c>
      <c r="B11" s="30"/>
      <c r="C11" s="24" t="s">
        <v>152</v>
      </c>
      <c r="D11" s="24"/>
      <c r="E11" s="24"/>
      <c r="F11" s="25"/>
      <c r="G11" s="25" t="s">
        <v>153</v>
      </c>
      <c r="H11" s="31">
        <v>226</v>
      </c>
      <c r="I11" s="31"/>
      <c r="J11" s="31"/>
      <c r="K11" s="31"/>
      <c r="L11" s="32"/>
      <c r="M11" s="26">
        <f t="shared" si="0"/>
        <v>226</v>
      </c>
      <c r="N11" s="26">
        <f t="shared" si="1"/>
        <v>0</v>
      </c>
      <c r="O11" s="26">
        <f t="shared" si="2"/>
        <v>0</v>
      </c>
      <c r="P11" s="26"/>
      <c r="Q11" s="33"/>
      <c r="R11" s="33"/>
      <c r="S11" s="34"/>
      <c r="T11" s="34"/>
      <c r="U11" s="34"/>
      <c r="V11" s="34"/>
      <c r="W11" s="34"/>
      <c r="X11" s="33"/>
      <c r="Y11" s="33"/>
      <c r="Z11" s="33"/>
      <c r="AA11" s="33">
        <v>226</v>
      </c>
      <c r="AB11" s="34"/>
      <c r="AC11" s="34"/>
      <c r="AD11" s="33"/>
      <c r="AE11" s="33"/>
      <c r="AF11" s="26">
        <f t="shared" si="3"/>
        <v>-226</v>
      </c>
      <c r="AG11" s="27">
        <f t="shared" si="4"/>
        <v>0</v>
      </c>
    </row>
    <row r="12" spans="1:33" s="11" customFormat="1" ht="18.75" customHeight="1" x14ac:dyDescent="0.2">
      <c r="A12" s="62">
        <v>44120</v>
      </c>
      <c r="B12" s="30"/>
      <c r="C12" s="24" t="s">
        <v>37</v>
      </c>
      <c r="D12" s="24" t="s">
        <v>115</v>
      </c>
      <c r="E12" s="24" t="s">
        <v>116</v>
      </c>
      <c r="F12" s="25"/>
      <c r="G12" s="25" t="s">
        <v>54</v>
      </c>
      <c r="H12" s="31"/>
      <c r="I12" s="31"/>
      <c r="J12" s="31"/>
      <c r="K12" s="31">
        <v>84</v>
      </c>
      <c r="L12" s="32"/>
      <c r="M12" s="26">
        <f t="shared" si="0"/>
        <v>74.999999999999986</v>
      </c>
      <c r="N12" s="26">
        <f t="shared" si="1"/>
        <v>8.9999999999999982</v>
      </c>
      <c r="O12" s="26">
        <f t="shared" si="2"/>
        <v>0</v>
      </c>
      <c r="P12" s="26"/>
      <c r="Q12" s="33">
        <v>75</v>
      </c>
      <c r="R12" s="33"/>
      <c r="S12" s="34"/>
      <c r="T12" s="34"/>
      <c r="U12" s="34"/>
      <c r="V12" s="34"/>
      <c r="W12" s="34"/>
      <c r="X12" s="33"/>
      <c r="Y12" s="33"/>
      <c r="Z12" s="33"/>
      <c r="AA12" s="33"/>
      <c r="AB12" s="34"/>
      <c r="AC12" s="34"/>
      <c r="AD12" s="33"/>
      <c r="AE12" s="33"/>
      <c r="AF12" s="26">
        <f t="shared" si="3"/>
        <v>-84</v>
      </c>
      <c r="AG12" s="27">
        <f t="shared" si="4"/>
        <v>0</v>
      </c>
    </row>
    <row r="13" spans="1:33" s="11" customFormat="1" ht="18.75" customHeight="1" x14ac:dyDescent="0.2">
      <c r="A13" s="62">
        <v>44121</v>
      </c>
      <c r="B13" s="30"/>
      <c r="C13" s="24" t="s">
        <v>154</v>
      </c>
      <c r="D13" s="24"/>
      <c r="E13" s="24"/>
      <c r="F13" s="25"/>
      <c r="G13" s="25" t="s">
        <v>44</v>
      </c>
      <c r="H13" s="31"/>
      <c r="I13" s="31"/>
      <c r="J13" s="31"/>
      <c r="K13" s="31">
        <v>839</v>
      </c>
      <c r="L13" s="32"/>
      <c r="M13" s="26">
        <f t="shared" ref="M13:M15" si="5">SUM(H13:J13,K13/1.12)</f>
        <v>749.10714285714278</v>
      </c>
      <c r="N13" s="26">
        <f t="shared" ref="N13:N15" si="6">K13/1.12*0.12</f>
        <v>89.892857142857125</v>
      </c>
      <c r="O13" s="26">
        <f t="shared" ref="O13:O15" si="7">-SUM(I13:J13,K13/1.12)*L13</f>
        <v>0</v>
      </c>
      <c r="P13" s="26">
        <v>749.11</v>
      </c>
      <c r="Q13" s="33"/>
      <c r="R13" s="33"/>
      <c r="S13" s="34"/>
      <c r="T13" s="34"/>
      <c r="U13" s="34"/>
      <c r="V13" s="34"/>
      <c r="W13" s="34"/>
      <c r="X13" s="33"/>
      <c r="Y13" s="33"/>
      <c r="Z13" s="33"/>
      <c r="AA13" s="33"/>
      <c r="AB13" s="34"/>
      <c r="AC13" s="34"/>
      <c r="AD13" s="33"/>
      <c r="AE13" s="33"/>
      <c r="AF13" s="26">
        <f t="shared" ref="AF13:AF15" si="8">-SUM(N13:AE13)</f>
        <v>-839.00285714285712</v>
      </c>
      <c r="AG13" s="27"/>
    </row>
    <row r="14" spans="1:33" s="11" customFormat="1" ht="18.75" customHeight="1" x14ac:dyDescent="0.2">
      <c r="A14" s="62">
        <v>44121</v>
      </c>
      <c r="B14" s="30"/>
      <c r="C14" s="24" t="s">
        <v>37</v>
      </c>
      <c r="D14" s="24" t="s">
        <v>115</v>
      </c>
      <c r="E14" s="24" t="s">
        <v>116</v>
      </c>
      <c r="F14" s="25"/>
      <c r="G14" s="25" t="s">
        <v>54</v>
      </c>
      <c r="H14" s="31"/>
      <c r="I14" s="31"/>
      <c r="J14" s="31"/>
      <c r="K14" s="31">
        <v>45</v>
      </c>
      <c r="L14" s="32"/>
      <c r="M14" s="26">
        <f t="shared" si="5"/>
        <v>40.178571428571423</v>
      </c>
      <c r="N14" s="26">
        <f t="shared" si="6"/>
        <v>4.8214285714285703</v>
      </c>
      <c r="O14" s="26">
        <f t="shared" si="7"/>
        <v>0</v>
      </c>
      <c r="P14" s="26"/>
      <c r="Q14" s="33">
        <v>40.18</v>
      </c>
      <c r="R14" s="33"/>
      <c r="S14" s="34"/>
      <c r="T14" s="34"/>
      <c r="U14" s="34"/>
      <c r="V14" s="34"/>
      <c r="W14" s="34"/>
      <c r="X14" s="33"/>
      <c r="Y14" s="33"/>
      <c r="Z14" s="33"/>
      <c r="AA14" s="33"/>
      <c r="AB14" s="34"/>
      <c r="AC14" s="34"/>
      <c r="AD14" s="33"/>
      <c r="AE14" s="33"/>
      <c r="AF14" s="26">
        <f t="shared" si="8"/>
        <v>-45.001428571428569</v>
      </c>
      <c r="AG14" s="27"/>
    </row>
    <row r="15" spans="1:33" s="11" customFormat="1" ht="18.75" customHeight="1" x14ac:dyDescent="0.2">
      <c r="A15" s="62">
        <v>44121</v>
      </c>
      <c r="B15" s="30"/>
      <c r="C15" s="24" t="s">
        <v>56</v>
      </c>
      <c r="D15" s="24"/>
      <c r="E15" s="24"/>
      <c r="F15" s="25"/>
      <c r="G15" s="25" t="s">
        <v>54</v>
      </c>
      <c r="H15" s="31"/>
      <c r="I15" s="31"/>
      <c r="J15" s="31"/>
      <c r="K15" s="31">
        <v>25</v>
      </c>
      <c r="L15" s="32"/>
      <c r="M15" s="26">
        <f t="shared" si="5"/>
        <v>22.321428571428569</v>
      </c>
      <c r="N15" s="26">
        <f t="shared" si="6"/>
        <v>2.6785714285714284</v>
      </c>
      <c r="O15" s="26">
        <f t="shared" si="7"/>
        <v>0</v>
      </c>
      <c r="P15" s="26"/>
      <c r="Q15" s="33">
        <v>22.32</v>
      </c>
      <c r="R15" s="33"/>
      <c r="S15" s="34"/>
      <c r="T15" s="34"/>
      <c r="U15" s="34"/>
      <c r="V15" s="34"/>
      <c r="W15" s="34"/>
      <c r="X15" s="33"/>
      <c r="Y15" s="33"/>
      <c r="Z15" s="33"/>
      <c r="AA15" s="33"/>
      <c r="AB15" s="34"/>
      <c r="AC15" s="34"/>
      <c r="AD15" s="33"/>
      <c r="AE15" s="33"/>
      <c r="AF15" s="26">
        <f t="shared" si="8"/>
        <v>-24.998571428571427</v>
      </c>
      <c r="AG15" s="27"/>
    </row>
    <row r="16" spans="1:33" s="11" customFormat="1" ht="23.25" customHeight="1" x14ac:dyDescent="0.2">
      <c r="A16" s="62">
        <v>44123</v>
      </c>
      <c r="B16" s="30"/>
      <c r="C16" s="24" t="s">
        <v>87</v>
      </c>
      <c r="D16" s="24"/>
      <c r="E16" s="24"/>
      <c r="F16" s="25"/>
      <c r="G16" s="25" t="s">
        <v>155</v>
      </c>
      <c r="H16" s="31"/>
      <c r="I16" s="31"/>
      <c r="J16" s="31"/>
      <c r="K16" s="31">
        <v>125</v>
      </c>
      <c r="L16" s="32"/>
      <c r="M16" s="26">
        <f t="shared" si="0"/>
        <v>111.60714285714285</v>
      </c>
      <c r="N16" s="26">
        <f t="shared" si="1"/>
        <v>13.392857142857141</v>
      </c>
      <c r="O16" s="26">
        <f t="shared" si="2"/>
        <v>0</v>
      </c>
      <c r="P16" s="26"/>
      <c r="Q16" s="33">
        <v>111.61</v>
      </c>
      <c r="R16" s="33"/>
      <c r="S16" s="34"/>
      <c r="T16" s="34"/>
      <c r="U16" s="34"/>
      <c r="V16" s="34"/>
      <c r="W16" s="34"/>
      <c r="X16" s="33"/>
      <c r="Y16" s="33"/>
      <c r="Z16" s="33"/>
      <c r="AA16" s="33"/>
      <c r="AB16" s="34"/>
      <c r="AC16" s="34"/>
      <c r="AD16" s="33"/>
      <c r="AE16" s="33"/>
      <c r="AF16" s="26">
        <f t="shared" si="3"/>
        <v>-125.00285714285714</v>
      </c>
      <c r="AG16" s="27">
        <f t="shared" si="4"/>
        <v>-2.8571428571382285E-3</v>
      </c>
    </row>
    <row r="17" spans="1:33" s="11" customFormat="1" ht="23.25" customHeight="1" x14ac:dyDescent="0.2">
      <c r="A17" s="62">
        <v>44123</v>
      </c>
      <c r="B17" s="30"/>
      <c r="C17" s="24" t="s">
        <v>64</v>
      </c>
      <c r="D17" s="24"/>
      <c r="E17" s="24"/>
      <c r="F17" s="25"/>
      <c r="G17" s="25" t="s">
        <v>156</v>
      </c>
      <c r="H17" s="31"/>
      <c r="I17" s="31"/>
      <c r="J17" s="31"/>
      <c r="K17" s="31">
        <v>690</v>
      </c>
      <c r="L17" s="32"/>
      <c r="M17" s="26">
        <f t="shared" ref="M17:M19" si="9">SUM(H17:J17,K17/1.12)</f>
        <v>616.07142857142856</v>
      </c>
      <c r="N17" s="26">
        <f t="shared" ref="N17:N19" si="10">K17/1.12*0.12</f>
        <v>73.928571428571431</v>
      </c>
      <c r="O17" s="26">
        <f t="shared" ref="O17:O19" si="11">-SUM(I17:J17,K17/1.12)*L17</f>
        <v>0</v>
      </c>
      <c r="P17" s="26">
        <v>616.07000000000005</v>
      </c>
      <c r="Q17" s="33"/>
      <c r="R17" s="33"/>
      <c r="S17" s="34"/>
      <c r="T17" s="34"/>
      <c r="U17" s="34"/>
      <c r="V17" s="34"/>
      <c r="W17" s="34"/>
      <c r="X17" s="33"/>
      <c r="Y17" s="33"/>
      <c r="Z17" s="33"/>
      <c r="AA17" s="33"/>
      <c r="AB17" s="34"/>
      <c r="AC17" s="34"/>
      <c r="AD17" s="33"/>
      <c r="AE17" s="33"/>
      <c r="AF17" s="26">
        <f t="shared" ref="AF17:AF19" si="12">-SUM(N17:AE17)</f>
        <v>-689.99857142857149</v>
      </c>
      <c r="AG17" s="27"/>
    </row>
    <row r="18" spans="1:33" s="11" customFormat="1" ht="23.25" customHeight="1" x14ac:dyDescent="0.2">
      <c r="A18" s="62">
        <v>44123</v>
      </c>
      <c r="B18" s="30"/>
      <c r="C18" s="24" t="s">
        <v>157</v>
      </c>
      <c r="D18" s="24"/>
      <c r="E18" s="24"/>
      <c r="F18" s="25"/>
      <c r="G18" s="25" t="s">
        <v>158</v>
      </c>
      <c r="H18" s="31"/>
      <c r="I18" s="31"/>
      <c r="J18" s="31"/>
      <c r="K18" s="31">
        <v>940</v>
      </c>
      <c r="L18" s="32"/>
      <c r="M18" s="26">
        <f t="shared" si="9"/>
        <v>839.28571428571422</v>
      </c>
      <c r="N18" s="26">
        <f t="shared" si="10"/>
        <v>100.71428571428571</v>
      </c>
      <c r="O18" s="26">
        <f t="shared" si="11"/>
        <v>0</v>
      </c>
      <c r="P18" s="26">
        <v>839.29</v>
      </c>
      <c r="Q18" s="33"/>
      <c r="R18" s="33"/>
      <c r="S18" s="34"/>
      <c r="T18" s="34"/>
      <c r="U18" s="34"/>
      <c r="V18" s="34"/>
      <c r="W18" s="34"/>
      <c r="X18" s="33"/>
      <c r="Y18" s="33"/>
      <c r="Z18" s="33"/>
      <c r="AA18" s="33"/>
      <c r="AB18" s="34"/>
      <c r="AC18" s="34"/>
      <c r="AD18" s="33"/>
      <c r="AE18" s="33"/>
      <c r="AF18" s="26">
        <f t="shared" si="12"/>
        <v>-940.00428571428563</v>
      </c>
      <c r="AG18" s="27"/>
    </row>
    <row r="19" spans="1:33" s="11" customFormat="1" ht="23.25" customHeight="1" x14ac:dyDescent="0.2">
      <c r="A19" s="62">
        <v>44123</v>
      </c>
      <c r="B19" s="30"/>
      <c r="C19" s="24" t="s">
        <v>43</v>
      </c>
      <c r="D19" s="24"/>
      <c r="E19" s="24"/>
      <c r="F19" s="25"/>
      <c r="G19" s="25" t="s">
        <v>159</v>
      </c>
      <c r="H19" s="31">
        <v>100</v>
      </c>
      <c r="I19" s="31"/>
      <c r="J19" s="31"/>
      <c r="K19" s="31"/>
      <c r="L19" s="32"/>
      <c r="M19" s="26">
        <f t="shared" si="9"/>
        <v>100</v>
      </c>
      <c r="N19" s="26">
        <f t="shared" si="10"/>
        <v>0</v>
      </c>
      <c r="O19" s="26">
        <f t="shared" si="11"/>
        <v>0</v>
      </c>
      <c r="P19" s="26"/>
      <c r="Q19" s="33"/>
      <c r="R19" s="33"/>
      <c r="S19" s="34"/>
      <c r="T19" s="34"/>
      <c r="U19" s="34"/>
      <c r="V19" s="34"/>
      <c r="W19" s="34"/>
      <c r="X19" s="33"/>
      <c r="Y19" s="33"/>
      <c r="Z19" s="33"/>
      <c r="AA19" s="33">
        <v>100</v>
      </c>
      <c r="AB19" s="34"/>
      <c r="AC19" s="34"/>
      <c r="AD19" s="33"/>
      <c r="AE19" s="33"/>
      <c r="AF19" s="26">
        <f t="shared" si="12"/>
        <v>-100</v>
      </c>
      <c r="AG19" s="27"/>
    </row>
    <row r="20" spans="1:33" s="11" customFormat="1" ht="23.25" customHeight="1" x14ac:dyDescent="0.2">
      <c r="A20" s="29"/>
      <c r="B20" s="30"/>
      <c r="C20" s="24"/>
      <c r="D20" s="24"/>
      <c r="E20" s="24"/>
      <c r="F20" s="25"/>
      <c r="G20" s="25"/>
      <c r="H20" s="31"/>
      <c r="I20" s="31"/>
      <c r="J20" s="31"/>
      <c r="K20" s="31"/>
      <c r="L20" s="32"/>
      <c r="M20" s="26">
        <f t="shared" si="0"/>
        <v>0</v>
      </c>
      <c r="N20" s="26">
        <f t="shared" si="1"/>
        <v>0</v>
      </c>
      <c r="O20" s="26">
        <f t="shared" si="2"/>
        <v>0</v>
      </c>
      <c r="P20" s="26"/>
      <c r="Q20" s="33"/>
      <c r="R20" s="33"/>
      <c r="S20" s="34"/>
      <c r="T20" s="34"/>
      <c r="U20" s="34"/>
      <c r="V20" s="34"/>
      <c r="W20" s="34"/>
      <c r="X20" s="33"/>
      <c r="Y20" s="33"/>
      <c r="Z20" s="33"/>
      <c r="AA20" s="33"/>
      <c r="AB20" s="34"/>
      <c r="AC20" s="34"/>
      <c r="AD20" s="33"/>
      <c r="AE20" s="33"/>
      <c r="AF20" s="26">
        <f t="shared" ref="AF20:AF21" si="13">-SUM(N20:AE20)</f>
        <v>0</v>
      </c>
      <c r="AG20" s="27">
        <f t="shared" si="4"/>
        <v>0</v>
      </c>
    </row>
    <row r="21" spans="1:33" s="11" customFormat="1" ht="12" thickBot="1" x14ac:dyDescent="0.25">
      <c r="A21" s="29"/>
      <c r="B21" s="30"/>
      <c r="C21" s="35"/>
      <c r="D21" s="35"/>
      <c r="E21" s="35"/>
      <c r="F21" s="25"/>
      <c r="G21" s="28"/>
      <c r="H21" s="31"/>
      <c r="I21" s="31"/>
      <c r="J21" s="31"/>
      <c r="K21" s="31"/>
      <c r="L21" s="32"/>
      <c r="M21" s="33">
        <f>SUM(H21:J21,K21/1.12)</f>
        <v>0</v>
      </c>
      <c r="N21" s="33">
        <f>K21/1.12*0.12</f>
        <v>0</v>
      </c>
      <c r="O21" s="33">
        <f>-SUM(I21:J21,K21/1.12)*L21</f>
        <v>0</v>
      </c>
      <c r="P21" s="33"/>
      <c r="Q21" s="33"/>
      <c r="R21" s="33"/>
      <c r="S21" s="33"/>
      <c r="T21" s="34"/>
      <c r="U21" s="43"/>
      <c r="V21" s="34"/>
      <c r="W21" s="34"/>
      <c r="X21" s="34"/>
      <c r="Y21" s="36"/>
      <c r="Z21" s="33"/>
      <c r="AA21" s="43"/>
      <c r="AB21" s="33"/>
      <c r="AC21" s="34"/>
      <c r="AD21" s="34"/>
      <c r="AE21" s="37"/>
      <c r="AF21" s="26">
        <f t="shared" si="13"/>
        <v>0</v>
      </c>
      <c r="AG21" s="27">
        <f t="shared" si="4"/>
        <v>0</v>
      </c>
    </row>
    <row r="22" spans="1:33" s="9" customFormat="1" ht="12.75" thickTop="1" thickBot="1" x14ac:dyDescent="0.25">
      <c r="A22" s="38"/>
      <c r="B22" s="39"/>
      <c r="C22" s="40"/>
      <c r="D22" s="41"/>
      <c r="E22" s="41"/>
      <c r="F22" s="42"/>
      <c r="G22" s="40"/>
      <c r="H22" s="43">
        <f>SUM(H5:H21)</f>
        <v>396</v>
      </c>
      <c r="I22" s="43">
        <f>SUM(I9:I21)</f>
        <v>0</v>
      </c>
      <c r="J22" s="43">
        <f>SUM(J5:J21)</f>
        <v>653.88</v>
      </c>
      <c r="K22" s="43">
        <f>SUM(K5:K21)</f>
        <v>7169.9000000000005</v>
      </c>
      <c r="L22" s="43">
        <f>SUM(L9:L21)</f>
        <v>0</v>
      </c>
      <c r="M22" s="43">
        <f>SUM(M5:M21)</f>
        <v>7451.5764285714286</v>
      </c>
      <c r="N22" s="43">
        <f>SUM(N5:N21)</f>
        <v>768.20357142857131</v>
      </c>
      <c r="O22" s="43">
        <f>SUM(O9:O21)</f>
        <v>0</v>
      </c>
      <c r="P22" s="43">
        <f t="shared" ref="P22:U22" si="14">SUM(P5:P21)</f>
        <v>6806.4699999999993</v>
      </c>
      <c r="Q22" s="43">
        <f t="shared" si="14"/>
        <v>249.11</v>
      </c>
      <c r="R22" s="43">
        <f t="shared" si="14"/>
        <v>0</v>
      </c>
      <c r="S22" s="43">
        <f t="shared" si="14"/>
        <v>0</v>
      </c>
      <c r="T22" s="43">
        <f t="shared" si="14"/>
        <v>0</v>
      </c>
      <c r="U22" s="43">
        <f t="shared" si="14"/>
        <v>0</v>
      </c>
      <c r="V22" s="43">
        <f>SUM(V9:V21)</f>
        <v>0</v>
      </c>
      <c r="W22" s="43">
        <f>SUM(W9:W21)</f>
        <v>0</v>
      </c>
      <c r="X22" s="43">
        <f>SUM(X9:X21)</f>
        <v>0</v>
      </c>
      <c r="Y22" s="43">
        <f>SUM(Y9:Y21)</f>
        <v>0</v>
      </c>
      <c r="Z22" s="43">
        <f>SUM(Z9:Z21)</f>
        <v>0</v>
      </c>
      <c r="AA22" s="43">
        <f>SUM(AA5:AA21)</f>
        <v>396</v>
      </c>
      <c r="AB22" s="43">
        <f>SUM(AB9:AB21)</f>
        <v>0</v>
      </c>
      <c r="AC22" s="43">
        <f>SUM(AC9:AC21)</f>
        <v>0</v>
      </c>
      <c r="AD22" s="43">
        <f>SUM(AD9:AD21)</f>
        <v>0</v>
      </c>
      <c r="AE22" s="43">
        <f>SUM(AE9:AE21)</f>
        <v>0</v>
      </c>
      <c r="AF22" s="43">
        <f>SUM(AF5:AF21)</f>
        <v>-8219.783571428572</v>
      </c>
      <c r="AG22" s="43">
        <f>SUM(AG9:AG21)</f>
        <v>-7.1428571358467252E-4</v>
      </c>
    </row>
    <row r="23" spans="1:33" s="81" customFormat="1" ht="12" thickTop="1" x14ac:dyDescent="0.2"/>
    <row r="24" spans="1:33" ht="12" x14ac:dyDescent="0.2">
      <c r="K24" s="44">
        <f>H22+J22+K22</f>
        <v>8219.7800000000007</v>
      </c>
      <c r="L24" s="8"/>
      <c r="M24" s="7"/>
      <c r="AF24" s="45">
        <f>+AF22</f>
        <v>-8219.783571428572</v>
      </c>
    </row>
    <row r="25" spans="1:33" ht="12" x14ac:dyDescent="0.2">
      <c r="K25" s="44"/>
      <c r="L25" s="8"/>
      <c r="M25" s="7"/>
      <c r="AF25" s="45"/>
    </row>
    <row r="26" spans="1:33" ht="12" x14ac:dyDescent="0.2">
      <c r="K26" s="44"/>
      <c r="L26" s="8"/>
      <c r="M26" s="7"/>
      <c r="AF26" s="45"/>
    </row>
    <row r="27" spans="1:33" x14ac:dyDescent="0.2">
      <c r="K27" s="7"/>
      <c r="L27" s="8"/>
      <c r="M27" s="7"/>
    </row>
    <row r="28" spans="1:33" ht="12.75" x14ac:dyDescent="0.2">
      <c r="C28" s="46" t="s">
        <v>121</v>
      </c>
      <c r="G28" s="9"/>
      <c r="J28" s="48" t="s">
        <v>48</v>
      </c>
      <c r="K28" s="50">
        <f>J22+K22</f>
        <v>7823.7800000000007</v>
      </c>
      <c r="L28" s="47"/>
      <c r="M28" s="47"/>
      <c r="N28" s="45"/>
      <c r="O28" s="45"/>
      <c r="P28" s="45"/>
      <c r="Q28" s="45"/>
    </row>
    <row r="29" spans="1:33" ht="12.75" x14ac:dyDescent="0.2">
      <c r="C29" s="46"/>
      <c r="G29" s="9"/>
      <c r="J29" s="48" t="s">
        <v>53</v>
      </c>
      <c r="K29" s="50">
        <f>K7</f>
        <v>0</v>
      </c>
      <c r="L29" s="47"/>
      <c r="M29" s="47"/>
      <c r="N29" s="45"/>
      <c r="O29" s="45"/>
      <c r="P29" s="45"/>
      <c r="Q29" s="45"/>
    </row>
    <row r="30" spans="1:33" ht="12.75" x14ac:dyDescent="0.2">
      <c r="J30" s="48" t="s">
        <v>49</v>
      </c>
      <c r="K30" s="49"/>
      <c r="L30" s="8"/>
      <c r="M30" s="7"/>
    </row>
    <row r="31" spans="1:33" ht="12.75" x14ac:dyDescent="0.2">
      <c r="J31" s="48" t="s">
        <v>50</v>
      </c>
      <c r="K31" s="49">
        <f>AA22</f>
        <v>396</v>
      </c>
      <c r="L31" s="8"/>
      <c r="M31" s="7"/>
    </row>
    <row r="32" spans="1:33" ht="12.75" x14ac:dyDescent="0.2">
      <c r="A32" s="1"/>
      <c r="B32" s="1"/>
      <c r="D32" s="1"/>
      <c r="E32" s="1"/>
      <c r="F32" s="1"/>
      <c r="H32" s="1"/>
      <c r="I32" s="1"/>
      <c r="J32" s="51" t="s">
        <v>51</v>
      </c>
      <c r="K32" s="52">
        <f>SUM(K28:K31)</f>
        <v>8219.7800000000007</v>
      </c>
      <c r="L32" s="8"/>
      <c r="M32" s="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Z32" s="1"/>
      <c r="AA32" s="1"/>
      <c r="AB32" s="1"/>
      <c r="AC32" s="1"/>
      <c r="AD32" s="1"/>
      <c r="AE32" s="1"/>
      <c r="AF32" s="1"/>
    </row>
    <row r="33" spans="1:32" ht="12" x14ac:dyDescent="0.2">
      <c r="J33" s="45" t="s">
        <v>144</v>
      </c>
      <c r="K33" s="45">
        <v>10000</v>
      </c>
    </row>
    <row r="34" spans="1:32" ht="12" x14ac:dyDescent="0.2">
      <c r="H34" s="59"/>
      <c r="I34" s="59"/>
      <c r="J34" s="59" t="s">
        <v>42</v>
      </c>
      <c r="K34" s="59">
        <f>K32-K33</f>
        <v>-1780.2199999999993</v>
      </c>
      <c r="L34" s="71"/>
      <c r="M34" s="72"/>
    </row>
    <row r="35" spans="1:32" ht="12" x14ac:dyDescent="0.2">
      <c r="H35" s="59"/>
      <c r="I35" s="59"/>
      <c r="J35" s="59"/>
      <c r="K35" s="59"/>
    </row>
    <row r="36" spans="1:32" ht="12" x14ac:dyDescent="0.2">
      <c r="H36" s="59"/>
      <c r="I36" s="59"/>
      <c r="J36" s="59"/>
      <c r="K36" s="59"/>
    </row>
    <row r="37" spans="1:32" ht="12" x14ac:dyDescent="0.2">
      <c r="H37" s="59"/>
      <c r="I37" s="59"/>
      <c r="J37" s="59"/>
      <c r="K37" s="59"/>
    </row>
    <row r="38" spans="1:32" ht="12" x14ac:dyDescent="0.2">
      <c r="H38" s="59"/>
      <c r="I38" s="59"/>
      <c r="J38" s="59"/>
      <c r="K38" s="59"/>
    </row>
    <row r="39" spans="1:32" ht="12" x14ac:dyDescent="0.2">
      <c r="H39" s="59"/>
      <c r="I39" s="59"/>
      <c r="J39" s="59"/>
      <c r="K39" s="59"/>
      <c r="Q39" s="2">
        <v>0</v>
      </c>
    </row>
    <row r="40" spans="1:32" ht="12" x14ac:dyDescent="0.2">
      <c r="A40" s="1"/>
      <c r="B40" s="1"/>
      <c r="D40" s="1"/>
      <c r="E40" s="1"/>
      <c r="F40" s="1"/>
      <c r="H40" s="60"/>
      <c r="I40" s="60"/>
      <c r="J40" s="60"/>
      <c r="K40" s="60"/>
      <c r="L40" s="1"/>
      <c r="M40" s="1"/>
      <c r="N40" s="1"/>
      <c r="O40" s="1"/>
      <c r="P40" s="1"/>
      <c r="Q40" s="1"/>
      <c r="R40" s="1"/>
      <c r="S40" s="1"/>
      <c r="Z40" s="1"/>
      <c r="AA40" s="1"/>
      <c r="AB40" s="1"/>
      <c r="AC40" s="1"/>
      <c r="AD40" s="1"/>
      <c r="AE40" s="1"/>
      <c r="AF40" s="1"/>
    </row>
    <row r="41" spans="1:32" ht="12" x14ac:dyDescent="0.2">
      <c r="H41" s="59"/>
      <c r="I41" s="59"/>
      <c r="J41" s="59"/>
      <c r="K41" s="59"/>
    </row>
    <row r="42" spans="1:32" ht="12" x14ac:dyDescent="0.2">
      <c r="H42" s="59"/>
      <c r="I42" s="59"/>
      <c r="J42" s="59"/>
      <c r="K42" s="59"/>
    </row>
    <row r="43" spans="1:32" ht="12" x14ac:dyDescent="0.2">
      <c r="H43" s="59"/>
      <c r="I43" s="59"/>
      <c r="J43" s="59"/>
      <c r="K43" s="59"/>
    </row>
    <row r="44" spans="1:32" ht="12" x14ac:dyDescent="0.2">
      <c r="H44" s="59"/>
      <c r="I44" s="59"/>
      <c r="J44" s="59"/>
      <c r="K44" s="59"/>
    </row>
    <row r="45" spans="1:32" x14ac:dyDescent="0.2">
      <c r="H45" s="61"/>
      <c r="I45" s="61"/>
      <c r="J45" s="61"/>
      <c r="K45" s="61"/>
    </row>
    <row r="46" spans="1:32" x14ac:dyDescent="0.2">
      <c r="H46" s="61"/>
      <c r="I46" s="61"/>
      <c r="J46" s="61"/>
      <c r="K46" s="61"/>
    </row>
    <row r="47" spans="1:32" x14ac:dyDescent="0.2">
      <c r="H47" s="61"/>
      <c r="I47" s="61"/>
      <c r="J47" s="61"/>
      <c r="K47" s="61"/>
    </row>
    <row r="48" spans="1:32" x14ac:dyDescent="0.2">
      <c r="H48" s="61"/>
      <c r="I48" s="61"/>
      <c r="J48" s="61"/>
      <c r="K48" s="61"/>
    </row>
    <row r="49" spans="8:11" s="1" customFormat="1" x14ac:dyDescent="0.2">
      <c r="H49" s="61"/>
      <c r="I49" s="61"/>
      <c r="J49" s="61"/>
      <c r="K49" s="61"/>
    </row>
  </sheetData>
  <mergeCells count="1">
    <mergeCell ref="A23:XFD23"/>
  </mergeCells>
  <pageMargins left="0.45" right="0.2" top="0.5" bottom="0.25" header="0.3" footer="0.3"/>
  <pageSetup paperSize="5" scale="80" orientation="landscape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workbookViewId="0">
      <selection activeCell="C6" sqref="C6"/>
    </sheetView>
  </sheetViews>
  <sheetFormatPr defaultRowHeight="11.25" x14ac:dyDescent="0.2"/>
  <cols>
    <col min="1" max="1" width="8.140625" style="74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11.140625" style="2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8.5703125" style="2" customWidth="1"/>
    <col min="15" max="15" width="9" style="2" hidden="1" customWidth="1"/>
    <col min="16" max="16" width="9.85546875" style="2" customWidth="1"/>
    <col min="17" max="17" width="10.85546875" style="2" customWidth="1"/>
    <col min="18" max="18" width="10.7109375" style="2" customWidth="1"/>
    <col min="19" max="19" width="9.5703125" style="2" customWidth="1"/>
    <col min="20" max="21" width="9.140625" style="2" hidden="1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hidden="1" customWidth="1"/>
    <col min="26" max="26" width="8.28515625" style="2" hidden="1" customWidth="1"/>
    <col min="27" max="27" width="8.7109375" style="2" customWidth="1"/>
    <col min="28" max="28" width="9.5703125" style="2" hidden="1" customWidth="1"/>
    <col min="29" max="30" width="8" style="2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3" ht="12" customHeight="1" x14ac:dyDescent="0.2">
      <c r="A1" s="12" t="s">
        <v>30</v>
      </c>
      <c r="C1" s="13"/>
    </row>
    <row r="2" spans="1:33" ht="12" customHeight="1" x14ac:dyDescent="0.2">
      <c r="A2" s="12" t="s">
        <v>26</v>
      </c>
    </row>
    <row r="3" spans="1:33" ht="12" customHeight="1" x14ac:dyDescent="0.2">
      <c r="A3" s="12" t="s">
        <v>160</v>
      </c>
      <c r="B3" s="13"/>
      <c r="C3" s="14"/>
      <c r="N3" s="15">
        <v>1301</v>
      </c>
      <c r="O3" s="15">
        <v>2402</v>
      </c>
      <c r="P3" s="15">
        <v>5001</v>
      </c>
      <c r="Q3" s="15">
        <v>5002</v>
      </c>
      <c r="R3" s="15">
        <v>6220</v>
      </c>
      <c r="S3" s="15">
        <v>6219</v>
      </c>
      <c r="T3" s="15">
        <v>6212</v>
      </c>
      <c r="U3" s="15"/>
      <c r="V3" s="15"/>
      <c r="W3" s="15"/>
      <c r="X3" s="15"/>
      <c r="Y3" s="15" t="s">
        <v>25</v>
      </c>
      <c r="Z3" s="15"/>
      <c r="AA3" s="15">
        <v>6230</v>
      </c>
      <c r="AB3" s="15" t="s">
        <v>24</v>
      </c>
      <c r="AC3" s="15">
        <v>6202</v>
      </c>
      <c r="AD3" s="15"/>
      <c r="AE3" s="15">
        <v>6109</v>
      </c>
      <c r="AF3" s="15">
        <v>1002</v>
      </c>
    </row>
    <row r="4" spans="1:33" s="10" customFormat="1" ht="44.25" customHeight="1" x14ac:dyDescent="0.25">
      <c r="A4" s="16" t="s">
        <v>23</v>
      </c>
      <c r="B4" s="17" t="s">
        <v>22</v>
      </c>
      <c r="C4" s="18" t="s">
        <v>21</v>
      </c>
      <c r="D4" s="18" t="s">
        <v>20</v>
      </c>
      <c r="E4" s="18" t="s">
        <v>27</v>
      </c>
      <c r="F4" s="18" t="s">
        <v>19</v>
      </c>
      <c r="G4" s="18" t="s">
        <v>18</v>
      </c>
      <c r="H4" s="18" t="s">
        <v>17</v>
      </c>
      <c r="I4" s="18" t="s">
        <v>16</v>
      </c>
      <c r="J4" s="18" t="s">
        <v>15</v>
      </c>
      <c r="K4" s="18" t="s">
        <v>14</v>
      </c>
      <c r="L4" s="19" t="s">
        <v>13</v>
      </c>
      <c r="M4" s="18" t="s">
        <v>12</v>
      </c>
      <c r="N4" s="20" t="s">
        <v>11</v>
      </c>
      <c r="O4" s="20" t="s">
        <v>10</v>
      </c>
      <c r="P4" s="20" t="s">
        <v>9</v>
      </c>
      <c r="Q4" s="20" t="s">
        <v>8</v>
      </c>
      <c r="R4" s="20" t="s">
        <v>31</v>
      </c>
      <c r="S4" s="20" t="s">
        <v>163</v>
      </c>
      <c r="T4" s="20" t="s">
        <v>7</v>
      </c>
      <c r="U4" s="20" t="s">
        <v>28</v>
      </c>
      <c r="V4" s="20" t="s">
        <v>32</v>
      </c>
      <c r="W4" s="20" t="s">
        <v>33</v>
      </c>
      <c r="X4" s="20" t="s">
        <v>34</v>
      </c>
      <c r="Y4" s="20" t="s">
        <v>6</v>
      </c>
      <c r="Z4" s="20" t="s">
        <v>29</v>
      </c>
      <c r="AA4" s="20" t="s">
        <v>5</v>
      </c>
      <c r="AB4" s="20" t="s">
        <v>4</v>
      </c>
      <c r="AC4" s="21" t="s">
        <v>174</v>
      </c>
      <c r="AD4" s="20" t="s">
        <v>1</v>
      </c>
      <c r="AE4" s="22" t="s">
        <v>2</v>
      </c>
      <c r="AF4" s="23" t="s">
        <v>0</v>
      </c>
    </row>
    <row r="5" spans="1:33" s="10" customFormat="1" ht="19.5" customHeight="1" x14ac:dyDescent="0.2">
      <c r="A5" s="62">
        <v>44123</v>
      </c>
      <c r="B5" s="17"/>
      <c r="C5" s="24" t="s">
        <v>95</v>
      </c>
      <c r="D5" s="18"/>
      <c r="E5" s="18"/>
      <c r="F5" s="63"/>
      <c r="G5" s="63" t="s">
        <v>172</v>
      </c>
      <c r="H5" s="63"/>
      <c r="I5" s="63"/>
      <c r="J5" s="65"/>
      <c r="K5" s="65">
        <f>135+72</f>
        <v>207</v>
      </c>
      <c r="L5" s="64"/>
      <c r="M5" s="26">
        <f t="shared" ref="M5" si="0">SUM(H5:J5,K5/1.12)</f>
        <v>184.82142857142856</v>
      </c>
      <c r="N5" s="26">
        <f t="shared" ref="N5" si="1">K5/1.12*0.12</f>
        <v>22.178571428571427</v>
      </c>
      <c r="O5" s="26">
        <f t="shared" ref="O5" si="2">-SUM(I5:J5,K5/1.12)*L5</f>
        <v>0</v>
      </c>
      <c r="P5" s="26">
        <v>184.82</v>
      </c>
      <c r="Q5" s="33"/>
      <c r="R5" s="33"/>
      <c r="S5" s="34"/>
      <c r="T5" s="34"/>
      <c r="U5" s="34"/>
      <c r="V5" s="34"/>
      <c r="W5" s="34"/>
      <c r="X5" s="33"/>
      <c r="Y5" s="33"/>
      <c r="Z5" s="33"/>
      <c r="AA5" s="33"/>
      <c r="AB5" s="34"/>
      <c r="AC5" s="34"/>
      <c r="AD5" s="33"/>
      <c r="AE5" s="33"/>
      <c r="AF5" s="26">
        <f t="shared" ref="AF5" si="3">-SUM(N5:AE5)</f>
        <v>-206.99857142857141</v>
      </c>
      <c r="AG5" s="27">
        <f t="shared" ref="AG5" si="4">SUM(H5:K5)+AF5+O5</f>
        <v>1.4285714285904305E-3</v>
      </c>
    </row>
    <row r="6" spans="1:33" s="10" customFormat="1" ht="19.5" customHeight="1" x14ac:dyDescent="0.2">
      <c r="A6" s="62">
        <v>44123</v>
      </c>
      <c r="B6" s="17"/>
      <c r="C6" s="24" t="s">
        <v>95</v>
      </c>
      <c r="D6" s="18"/>
      <c r="E6" s="18"/>
      <c r="F6" s="63"/>
      <c r="G6" s="63" t="s">
        <v>173</v>
      </c>
      <c r="H6" s="63"/>
      <c r="I6" s="63"/>
      <c r="J6" s="65"/>
      <c r="K6" s="65">
        <v>79</v>
      </c>
      <c r="L6" s="64"/>
      <c r="M6" s="26">
        <f t="shared" ref="M6" si="5">SUM(H6:J6,K6/1.12)</f>
        <v>70.535714285714278</v>
      </c>
      <c r="N6" s="26">
        <f t="shared" ref="N6" si="6">K6/1.12*0.12</f>
        <v>8.4642857142857135</v>
      </c>
      <c r="O6" s="26">
        <f t="shared" ref="O6" si="7">-SUM(I6:J6,K6/1.12)*L6</f>
        <v>0</v>
      </c>
      <c r="P6" s="26"/>
      <c r="Q6" s="33"/>
      <c r="R6" s="33"/>
      <c r="S6" s="34"/>
      <c r="T6" s="34"/>
      <c r="U6" s="34"/>
      <c r="V6" s="34"/>
      <c r="W6" s="34"/>
      <c r="X6" s="33"/>
      <c r="Y6" s="33"/>
      <c r="Z6" s="33"/>
      <c r="AA6" s="33"/>
      <c r="AB6" s="34"/>
      <c r="AC6" s="34">
        <v>70.540000000000006</v>
      </c>
      <c r="AD6" s="33"/>
      <c r="AE6" s="33"/>
      <c r="AF6" s="26">
        <f t="shared" ref="AF6" si="8">-SUM(N6:AE6)</f>
        <v>-79.004285714285714</v>
      </c>
      <c r="AG6" s="27">
        <f t="shared" ref="AG6" si="9">SUM(H6:K6)+AF6+O6</f>
        <v>-4.2857142857144481E-3</v>
      </c>
    </row>
    <row r="7" spans="1:33" s="10" customFormat="1" ht="21" customHeight="1" x14ac:dyDescent="0.2">
      <c r="A7" s="62">
        <v>44124</v>
      </c>
      <c r="B7" s="17"/>
      <c r="C7" s="24" t="s">
        <v>161</v>
      </c>
      <c r="D7" s="18"/>
      <c r="E7" s="18"/>
      <c r="F7" s="63"/>
      <c r="G7" s="63" t="s">
        <v>162</v>
      </c>
      <c r="H7" s="63"/>
      <c r="I7" s="63"/>
      <c r="J7" s="65"/>
      <c r="K7" s="65">
        <f>980+500</f>
        <v>1480</v>
      </c>
      <c r="L7" s="64"/>
      <c r="M7" s="26">
        <f t="shared" ref="M7:M22" si="10">SUM(H7:J7,K7/1.12)</f>
        <v>1321.4285714285713</v>
      </c>
      <c r="N7" s="26">
        <f t="shared" ref="N7:N22" si="11">K7/1.12*0.12</f>
        <v>158.57142857142856</v>
      </c>
      <c r="O7" s="26">
        <f t="shared" ref="O7:O22" si="12">-SUM(I7:J7,K7/1.12)*L7</f>
        <v>0</v>
      </c>
      <c r="P7" s="26">
        <v>1321.43</v>
      </c>
      <c r="Q7" s="33"/>
      <c r="R7" s="33"/>
      <c r="S7" s="34"/>
      <c r="T7" s="34"/>
      <c r="U7" s="34"/>
      <c r="V7" s="34"/>
      <c r="W7" s="34"/>
      <c r="X7" s="33"/>
      <c r="Y7" s="33"/>
      <c r="Z7" s="33"/>
      <c r="AA7" s="33"/>
      <c r="AB7" s="34"/>
      <c r="AC7" s="34"/>
      <c r="AD7" s="33"/>
      <c r="AE7" s="33"/>
      <c r="AF7" s="26">
        <f t="shared" ref="AF7:AF21" si="13">-SUM(N7:AE7)</f>
        <v>-1480.0014285714287</v>
      </c>
      <c r="AG7" s="27">
        <f t="shared" ref="AG7:AG23" si="14">SUM(H7:K7)+AF7+O7</f>
        <v>-1.4285714287325391E-3</v>
      </c>
    </row>
    <row r="8" spans="1:33" s="10" customFormat="1" ht="18" customHeight="1" x14ac:dyDescent="0.2">
      <c r="A8" s="62">
        <v>44124</v>
      </c>
      <c r="B8" s="17"/>
      <c r="C8" s="24" t="s">
        <v>161</v>
      </c>
      <c r="D8" s="18"/>
      <c r="E8" s="18"/>
      <c r="F8" s="18"/>
      <c r="G8" s="63" t="s">
        <v>175</v>
      </c>
      <c r="H8" s="65"/>
      <c r="I8" s="18"/>
      <c r="J8" s="18"/>
      <c r="K8" s="65">
        <v>40</v>
      </c>
      <c r="L8" s="19"/>
      <c r="M8" s="26">
        <f t="shared" si="10"/>
        <v>35.714285714285708</v>
      </c>
      <c r="N8" s="26">
        <f t="shared" si="11"/>
        <v>4.2857142857142847</v>
      </c>
      <c r="O8" s="26">
        <f t="shared" si="12"/>
        <v>0</v>
      </c>
      <c r="P8" s="26"/>
      <c r="Q8" s="33"/>
      <c r="R8" s="33"/>
      <c r="S8" s="34">
        <v>35.71</v>
      </c>
      <c r="T8" s="34"/>
      <c r="U8" s="34"/>
      <c r="V8" s="34"/>
      <c r="W8" s="34"/>
      <c r="X8" s="33"/>
      <c r="Y8" s="33"/>
      <c r="Z8" s="33"/>
      <c r="AA8" s="33"/>
      <c r="AB8" s="34"/>
      <c r="AC8" s="34"/>
      <c r="AD8" s="33"/>
      <c r="AE8" s="33"/>
      <c r="AF8" s="26">
        <f t="shared" si="13"/>
        <v>-39.995714285714286</v>
      </c>
      <c r="AG8" s="27">
        <f t="shared" si="14"/>
        <v>4.2857142857144481E-3</v>
      </c>
    </row>
    <row r="9" spans="1:33" s="10" customFormat="1" ht="21.75" customHeight="1" x14ac:dyDescent="0.2">
      <c r="A9" s="62">
        <v>44124</v>
      </c>
      <c r="B9" s="17"/>
      <c r="C9" s="24" t="s">
        <v>164</v>
      </c>
      <c r="D9" s="63"/>
      <c r="E9" s="63"/>
      <c r="F9" s="63"/>
      <c r="G9" s="63" t="s">
        <v>165</v>
      </c>
      <c r="H9" s="65"/>
      <c r="I9" s="63"/>
      <c r="J9" s="63"/>
      <c r="K9" s="65">
        <v>2134</v>
      </c>
      <c r="L9" s="19"/>
      <c r="M9" s="26">
        <f t="shared" si="10"/>
        <v>1905.3571428571427</v>
      </c>
      <c r="N9" s="26">
        <f t="shared" si="11"/>
        <v>228.64285714285711</v>
      </c>
      <c r="O9" s="26">
        <f t="shared" si="12"/>
        <v>0</v>
      </c>
      <c r="P9" s="26"/>
      <c r="Q9" s="33"/>
      <c r="R9" s="33">
        <v>1905.36</v>
      </c>
      <c r="S9" s="34"/>
      <c r="T9" s="34"/>
      <c r="U9" s="34"/>
      <c r="V9" s="34"/>
      <c r="W9" s="34"/>
      <c r="X9" s="33"/>
      <c r="Y9" s="33"/>
      <c r="Z9" s="33"/>
      <c r="AA9" s="33"/>
      <c r="AB9" s="34"/>
      <c r="AC9" s="34"/>
      <c r="AD9" s="33"/>
      <c r="AE9" s="33"/>
      <c r="AF9" s="26">
        <f t="shared" si="13"/>
        <v>-2134.002857142857</v>
      </c>
      <c r="AG9" s="27">
        <f t="shared" si="14"/>
        <v>-2.8571428570103308E-3</v>
      </c>
    </row>
    <row r="10" spans="1:33" s="10" customFormat="1" ht="25.5" customHeight="1" x14ac:dyDescent="0.2">
      <c r="A10" s="62">
        <v>44124</v>
      </c>
      <c r="B10" s="66"/>
      <c r="C10" s="24" t="s">
        <v>166</v>
      </c>
      <c r="D10" s="63"/>
      <c r="E10" s="63"/>
      <c r="F10" s="63"/>
      <c r="G10" s="63" t="s">
        <v>167</v>
      </c>
      <c r="H10" s="63">
        <v>150</v>
      </c>
      <c r="I10" s="63"/>
      <c r="J10" s="75"/>
      <c r="K10" s="65"/>
      <c r="L10" s="19"/>
      <c r="M10" s="26">
        <f t="shared" si="10"/>
        <v>150</v>
      </c>
      <c r="N10" s="26">
        <f t="shared" si="11"/>
        <v>0</v>
      </c>
      <c r="O10" s="26">
        <f t="shared" si="12"/>
        <v>0</v>
      </c>
      <c r="P10" s="26"/>
      <c r="Q10" s="33"/>
      <c r="R10" s="33"/>
      <c r="S10" s="34">
        <v>150</v>
      </c>
      <c r="T10" s="34"/>
      <c r="U10" s="34"/>
      <c r="V10" s="34"/>
      <c r="W10" s="34"/>
      <c r="X10" s="33"/>
      <c r="Y10" s="33"/>
      <c r="Z10" s="33"/>
      <c r="AA10" s="33"/>
      <c r="AB10" s="34"/>
      <c r="AC10" s="34"/>
      <c r="AD10" s="33"/>
      <c r="AE10" s="33"/>
      <c r="AF10" s="26">
        <f t="shared" si="13"/>
        <v>-150</v>
      </c>
      <c r="AG10" s="27">
        <f t="shared" si="14"/>
        <v>0</v>
      </c>
    </row>
    <row r="11" spans="1:33" s="11" customFormat="1" ht="23.25" customHeight="1" x14ac:dyDescent="0.2">
      <c r="A11" s="62">
        <v>44124</v>
      </c>
      <c r="B11" s="66"/>
      <c r="C11" s="24" t="s">
        <v>168</v>
      </c>
      <c r="D11" s="24"/>
      <c r="E11" s="24"/>
      <c r="F11" s="25"/>
      <c r="G11" s="25" t="s">
        <v>169</v>
      </c>
      <c r="H11" s="31"/>
      <c r="I11" s="31"/>
      <c r="J11" s="31"/>
      <c r="K11" s="31">
        <v>160</v>
      </c>
      <c r="L11" s="32"/>
      <c r="M11" s="26">
        <f t="shared" si="10"/>
        <v>142.85714285714283</v>
      </c>
      <c r="N11" s="26">
        <f t="shared" si="11"/>
        <v>17.142857142857139</v>
      </c>
      <c r="O11" s="26">
        <f t="shared" si="12"/>
        <v>0</v>
      </c>
      <c r="P11" s="26"/>
      <c r="Q11" s="33"/>
      <c r="R11" s="33">
        <v>142.86000000000001</v>
      </c>
      <c r="S11" s="34"/>
      <c r="T11" s="34"/>
      <c r="U11" s="34"/>
      <c r="V11" s="34"/>
      <c r="W11" s="34"/>
      <c r="X11" s="33"/>
      <c r="Y11" s="33"/>
      <c r="Z11" s="33"/>
      <c r="AA11" s="33"/>
      <c r="AB11" s="34"/>
      <c r="AC11" s="34"/>
      <c r="AD11" s="33"/>
      <c r="AE11" s="33"/>
      <c r="AF11" s="26">
        <f t="shared" si="13"/>
        <v>-160.00285714285715</v>
      </c>
      <c r="AG11" s="27">
        <f t="shared" si="14"/>
        <v>-2.8571428571524393E-3</v>
      </c>
    </row>
    <row r="12" spans="1:33" s="11" customFormat="1" ht="21.75" customHeight="1" x14ac:dyDescent="0.2">
      <c r="A12" s="62">
        <v>44124</v>
      </c>
      <c r="B12" s="30"/>
      <c r="C12" s="24" t="s">
        <v>43</v>
      </c>
      <c r="D12" s="24" t="s">
        <v>115</v>
      </c>
      <c r="E12" s="24" t="s">
        <v>116</v>
      </c>
      <c r="F12" s="25"/>
      <c r="G12" s="25" t="s">
        <v>171</v>
      </c>
      <c r="H12" s="31">
        <v>150</v>
      </c>
      <c r="I12" s="31"/>
      <c r="J12" s="31"/>
      <c r="K12" s="31">
        <v>0</v>
      </c>
      <c r="L12" s="32"/>
      <c r="M12" s="26">
        <f t="shared" si="10"/>
        <v>150</v>
      </c>
      <c r="N12" s="26">
        <f t="shared" si="11"/>
        <v>0</v>
      </c>
      <c r="O12" s="26">
        <f t="shared" si="12"/>
        <v>0</v>
      </c>
      <c r="P12" s="26"/>
      <c r="Q12" s="33"/>
      <c r="R12" s="33"/>
      <c r="S12" s="34"/>
      <c r="T12" s="34"/>
      <c r="U12" s="34"/>
      <c r="V12" s="34"/>
      <c r="W12" s="34"/>
      <c r="X12" s="33"/>
      <c r="Y12" s="33"/>
      <c r="Z12" s="33"/>
      <c r="AA12" s="33">
        <v>150</v>
      </c>
      <c r="AB12" s="34"/>
      <c r="AC12" s="34"/>
      <c r="AD12" s="33"/>
      <c r="AE12" s="33"/>
      <c r="AF12" s="26">
        <f t="shared" si="13"/>
        <v>-150</v>
      </c>
      <c r="AG12" s="27">
        <f t="shared" si="14"/>
        <v>0</v>
      </c>
    </row>
    <row r="13" spans="1:33" s="11" customFormat="1" ht="21" customHeight="1" x14ac:dyDescent="0.2">
      <c r="A13" s="62">
        <v>44124</v>
      </c>
      <c r="B13" s="30"/>
      <c r="C13" s="24" t="s">
        <v>37</v>
      </c>
      <c r="D13" s="24" t="s">
        <v>115</v>
      </c>
      <c r="E13" s="24" t="s">
        <v>116</v>
      </c>
      <c r="F13" s="25"/>
      <c r="G13" s="25" t="s">
        <v>170</v>
      </c>
      <c r="H13" s="31"/>
      <c r="I13" s="31"/>
      <c r="J13" s="31"/>
      <c r="K13" s="31">
        <v>60</v>
      </c>
      <c r="L13" s="32"/>
      <c r="M13" s="26">
        <f t="shared" si="10"/>
        <v>53.571428571428569</v>
      </c>
      <c r="N13" s="26">
        <f t="shared" si="11"/>
        <v>6.4285714285714279</v>
      </c>
      <c r="O13" s="26">
        <f t="shared" si="12"/>
        <v>0</v>
      </c>
      <c r="P13" s="26"/>
      <c r="Q13" s="33"/>
      <c r="R13" s="33"/>
      <c r="S13" s="34"/>
      <c r="T13" s="34"/>
      <c r="U13" s="34"/>
      <c r="V13" s="34"/>
      <c r="W13" s="34"/>
      <c r="X13" s="33"/>
      <c r="Y13" s="33"/>
      <c r="Z13" s="33"/>
      <c r="AA13" s="33"/>
      <c r="AB13" s="34"/>
      <c r="AC13" s="34"/>
      <c r="AD13" s="33">
        <v>53.57</v>
      </c>
      <c r="AE13" s="33"/>
      <c r="AF13" s="26">
        <f t="shared" si="13"/>
        <v>-59.998571428571431</v>
      </c>
      <c r="AG13" s="27">
        <f t="shared" si="14"/>
        <v>1.4285714285691142E-3</v>
      </c>
    </row>
    <row r="14" spans="1:33" s="11" customFormat="1" ht="18.75" customHeight="1" x14ac:dyDescent="0.2">
      <c r="A14" s="62">
        <v>44124</v>
      </c>
      <c r="B14" s="30"/>
      <c r="C14" s="24" t="s">
        <v>38</v>
      </c>
      <c r="D14" s="24"/>
      <c r="E14" s="24"/>
      <c r="F14" s="25"/>
      <c r="G14" s="25" t="s">
        <v>176</v>
      </c>
      <c r="H14" s="31"/>
      <c r="I14" s="31"/>
      <c r="J14" s="31"/>
      <c r="K14" s="31">
        <v>2815</v>
      </c>
      <c r="L14" s="32"/>
      <c r="M14" s="26">
        <f t="shared" si="10"/>
        <v>2513.3928571428569</v>
      </c>
      <c r="N14" s="26">
        <f t="shared" si="11"/>
        <v>301.60714285714283</v>
      </c>
      <c r="O14" s="26">
        <f t="shared" si="12"/>
        <v>0</v>
      </c>
      <c r="P14" s="26"/>
      <c r="Q14" s="33">
        <v>2513.39</v>
      </c>
      <c r="R14" s="33"/>
      <c r="S14" s="34"/>
      <c r="T14" s="34"/>
      <c r="U14" s="34"/>
      <c r="V14" s="34"/>
      <c r="W14" s="34"/>
      <c r="X14" s="33"/>
      <c r="Y14" s="33"/>
      <c r="Z14" s="33"/>
      <c r="AA14" s="33"/>
      <c r="AB14" s="34"/>
      <c r="AC14" s="34"/>
      <c r="AD14" s="33"/>
      <c r="AE14" s="33"/>
      <c r="AF14" s="26">
        <f t="shared" si="13"/>
        <v>-2814.9971428571425</v>
      </c>
      <c r="AG14" s="27">
        <f t="shared" si="14"/>
        <v>2.8571428574650781E-3</v>
      </c>
    </row>
    <row r="15" spans="1:33" s="11" customFormat="1" ht="18.75" customHeight="1" x14ac:dyDescent="0.2">
      <c r="A15" s="62">
        <v>44124</v>
      </c>
      <c r="B15" s="30"/>
      <c r="C15" s="24" t="s">
        <v>38</v>
      </c>
      <c r="D15" s="24"/>
      <c r="E15" s="24"/>
      <c r="F15" s="25"/>
      <c r="G15" s="25" t="s">
        <v>44</v>
      </c>
      <c r="H15" s="31"/>
      <c r="I15" s="31"/>
      <c r="J15" s="31"/>
      <c r="K15" s="31">
        <v>3486.6</v>
      </c>
      <c r="L15" s="32"/>
      <c r="M15" s="26">
        <f t="shared" si="10"/>
        <v>3113.0357142857138</v>
      </c>
      <c r="N15" s="26">
        <f t="shared" si="11"/>
        <v>373.56428571428563</v>
      </c>
      <c r="O15" s="26">
        <f t="shared" si="12"/>
        <v>0</v>
      </c>
      <c r="P15" s="26"/>
      <c r="Q15" s="33">
        <v>3113.04</v>
      </c>
      <c r="R15" s="33"/>
      <c r="S15" s="34"/>
      <c r="T15" s="34"/>
      <c r="U15" s="34"/>
      <c r="V15" s="34"/>
      <c r="W15" s="34"/>
      <c r="X15" s="33"/>
      <c r="Y15" s="33"/>
      <c r="Z15" s="33"/>
      <c r="AA15" s="33"/>
      <c r="AB15" s="34"/>
      <c r="AC15" s="34"/>
      <c r="AD15" s="33"/>
      <c r="AE15" s="33"/>
      <c r="AF15" s="26">
        <f t="shared" si="13"/>
        <v>-3486.6042857142857</v>
      </c>
      <c r="AG15" s="27">
        <f t="shared" si="14"/>
        <v>-4.2857142857428698E-3</v>
      </c>
    </row>
    <row r="16" spans="1:33" s="11" customFormat="1" ht="18.75" customHeight="1" x14ac:dyDescent="0.2">
      <c r="A16" s="62">
        <v>44124</v>
      </c>
      <c r="B16" s="30"/>
      <c r="C16" s="24" t="s">
        <v>177</v>
      </c>
      <c r="D16" s="24"/>
      <c r="E16" s="24"/>
      <c r="F16" s="25"/>
      <c r="G16" s="25" t="s">
        <v>151</v>
      </c>
      <c r="H16" s="31">
        <v>120</v>
      </c>
      <c r="I16" s="31"/>
      <c r="J16" s="31"/>
      <c r="K16" s="31"/>
      <c r="L16" s="32"/>
      <c r="M16" s="26">
        <f t="shared" si="10"/>
        <v>120</v>
      </c>
      <c r="N16" s="26">
        <f t="shared" si="11"/>
        <v>0</v>
      </c>
      <c r="O16" s="26">
        <f t="shared" si="12"/>
        <v>0</v>
      </c>
      <c r="P16" s="26"/>
      <c r="Q16" s="33"/>
      <c r="R16" s="33"/>
      <c r="S16" s="34"/>
      <c r="T16" s="34"/>
      <c r="U16" s="34"/>
      <c r="V16" s="34"/>
      <c r="W16" s="34"/>
      <c r="X16" s="33"/>
      <c r="Y16" s="33"/>
      <c r="Z16" s="33"/>
      <c r="AA16" s="33">
        <v>120</v>
      </c>
      <c r="AB16" s="34"/>
      <c r="AC16" s="34"/>
      <c r="AD16" s="33"/>
      <c r="AE16" s="33"/>
      <c r="AF16" s="26">
        <f t="shared" si="13"/>
        <v>-120</v>
      </c>
      <c r="AG16" s="27"/>
    </row>
    <row r="17" spans="1:33" s="11" customFormat="1" ht="18.75" customHeight="1" x14ac:dyDescent="0.2">
      <c r="A17" s="62"/>
      <c r="B17" s="30"/>
      <c r="C17" s="24"/>
      <c r="D17" s="24"/>
      <c r="E17" s="24"/>
      <c r="F17" s="25"/>
      <c r="G17" s="25"/>
      <c r="H17" s="31"/>
      <c r="I17" s="31"/>
      <c r="J17" s="31"/>
      <c r="K17" s="31"/>
      <c r="L17" s="32"/>
      <c r="M17" s="26">
        <f t="shared" si="10"/>
        <v>0</v>
      </c>
      <c r="N17" s="26">
        <f t="shared" si="11"/>
        <v>0</v>
      </c>
      <c r="O17" s="26">
        <f t="shared" si="12"/>
        <v>0</v>
      </c>
      <c r="P17" s="26"/>
      <c r="Q17" s="33"/>
      <c r="R17" s="33"/>
      <c r="S17" s="34"/>
      <c r="T17" s="34"/>
      <c r="U17" s="34"/>
      <c r="V17" s="34"/>
      <c r="W17" s="34"/>
      <c r="X17" s="33"/>
      <c r="Y17" s="33"/>
      <c r="Z17" s="33"/>
      <c r="AA17" s="33"/>
      <c r="AB17" s="34"/>
      <c r="AC17" s="34"/>
      <c r="AD17" s="33"/>
      <c r="AE17" s="33"/>
      <c r="AF17" s="26">
        <f t="shared" si="13"/>
        <v>0</v>
      </c>
      <c r="AG17" s="27"/>
    </row>
    <row r="18" spans="1:33" s="11" customFormat="1" ht="23.25" customHeight="1" x14ac:dyDescent="0.2">
      <c r="A18" s="62"/>
      <c r="B18" s="30"/>
      <c r="C18" s="24"/>
      <c r="D18" s="24"/>
      <c r="E18" s="24"/>
      <c r="F18" s="25"/>
      <c r="G18" s="25"/>
      <c r="H18" s="31"/>
      <c r="I18" s="31"/>
      <c r="J18" s="31"/>
      <c r="K18" s="31"/>
      <c r="L18" s="32"/>
      <c r="M18" s="26">
        <f t="shared" si="10"/>
        <v>0</v>
      </c>
      <c r="N18" s="26">
        <f t="shared" si="11"/>
        <v>0</v>
      </c>
      <c r="O18" s="26">
        <f t="shared" si="12"/>
        <v>0</v>
      </c>
      <c r="P18" s="26"/>
      <c r="Q18" s="33"/>
      <c r="R18" s="33"/>
      <c r="S18" s="34"/>
      <c r="T18" s="34"/>
      <c r="U18" s="34"/>
      <c r="V18" s="34"/>
      <c r="W18" s="34"/>
      <c r="X18" s="33"/>
      <c r="Y18" s="33"/>
      <c r="Z18" s="33"/>
      <c r="AA18" s="33"/>
      <c r="AB18" s="34"/>
      <c r="AC18" s="34"/>
      <c r="AD18" s="33"/>
      <c r="AE18" s="33"/>
      <c r="AF18" s="26">
        <f t="shared" si="13"/>
        <v>0</v>
      </c>
      <c r="AG18" s="27">
        <f t="shared" si="14"/>
        <v>0</v>
      </c>
    </row>
    <row r="19" spans="1:33" s="11" customFormat="1" ht="23.25" customHeight="1" x14ac:dyDescent="0.2">
      <c r="A19" s="62"/>
      <c r="B19" s="30"/>
      <c r="C19" s="24"/>
      <c r="D19" s="24"/>
      <c r="E19" s="24"/>
      <c r="F19" s="25"/>
      <c r="G19" s="25"/>
      <c r="H19" s="31"/>
      <c r="I19" s="31"/>
      <c r="J19" s="31"/>
      <c r="K19" s="31"/>
      <c r="L19" s="32"/>
      <c r="M19" s="26">
        <f t="shared" si="10"/>
        <v>0</v>
      </c>
      <c r="N19" s="26">
        <f t="shared" si="11"/>
        <v>0</v>
      </c>
      <c r="O19" s="26">
        <f t="shared" si="12"/>
        <v>0</v>
      </c>
      <c r="P19" s="26"/>
      <c r="Q19" s="33"/>
      <c r="R19" s="33"/>
      <c r="S19" s="34"/>
      <c r="T19" s="34"/>
      <c r="U19" s="34"/>
      <c r="V19" s="34"/>
      <c r="W19" s="34"/>
      <c r="X19" s="33"/>
      <c r="Y19" s="33"/>
      <c r="Z19" s="33"/>
      <c r="AA19" s="33"/>
      <c r="AB19" s="34"/>
      <c r="AC19" s="34"/>
      <c r="AD19" s="33"/>
      <c r="AE19" s="33"/>
      <c r="AF19" s="26">
        <f t="shared" si="13"/>
        <v>0</v>
      </c>
      <c r="AG19" s="27"/>
    </row>
    <row r="20" spans="1:33" s="11" customFormat="1" ht="23.25" customHeight="1" x14ac:dyDescent="0.2">
      <c r="A20" s="62"/>
      <c r="B20" s="30"/>
      <c r="C20" s="24"/>
      <c r="D20" s="24"/>
      <c r="E20" s="24"/>
      <c r="F20" s="25"/>
      <c r="G20" s="25"/>
      <c r="H20" s="31"/>
      <c r="I20" s="31"/>
      <c r="J20" s="31"/>
      <c r="K20" s="31"/>
      <c r="L20" s="32"/>
      <c r="M20" s="26">
        <f t="shared" si="10"/>
        <v>0</v>
      </c>
      <c r="N20" s="26">
        <f t="shared" si="11"/>
        <v>0</v>
      </c>
      <c r="O20" s="26">
        <f t="shared" si="12"/>
        <v>0</v>
      </c>
      <c r="P20" s="26"/>
      <c r="Q20" s="33"/>
      <c r="R20" s="33"/>
      <c r="S20" s="34"/>
      <c r="T20" s="34"/>
      <c r="U20" s="34"/>
      <c r="V20" s="34"/>
      <c r="W20" s="34"/>
      <c r="X20" s="33"/>
      <c r="Y20" s="33"/>
      <c r="Z20" s="33"/>
      <c r="AA20" s="33"/>
      <c r="AB20" s="34"/>
      <c r="AC20" s="34"/>
      <c r="AD20" s="33"/>
      <c r="AE20" s="33"/>
      <c r="AF20" s="26">
        <f t="shared" si="13"/>
        <v>0</v>
      </c>
      <c r="AG20" s="27"/>
    </row>
    <row r="21" spans="1:33" s="11" customFormat="1" ht="23.25" customHeight="1" x14ac:dyDescent="0.2">
      <c r="A21" s="62"/>
      <c r="B21" s="30"/>
      <c r="C21" s="24"/>
      <c r="D21" s="24"/>
      <c r="E21" s="24"/>
      <c r="F21" s="25"/>
      <c r="G21" s="25"/>
      <c r="H21" s="31"/>
      <c r="I21" s="31"/>
      <c r="J21" s="31"/>
      <c r="K21" s="31"/>
      <c r="L21" s="32"/>
      <c r="M21" s="26">
        <f t="shared" si="10"/>
        <v>0</v>
      </c>
      <c r="N21" s="26">
        <f t="shared" si="11"/>
        <v>0</v>
      </c>
      <c r="O21" s="26">
        <f t="shared" si="12"/>
        <v>0</v>
      </c>
      <c r="P21" s="26"/>
      <c r="Q21" s="33"/>
      <c r="R21" s="33"/>
      <c r="S21" s="34"/>
      <c r="T21" s="34"/>
      <c r="U21" s="34"/>
      <c r="V21" s="34"/>
      <c r="W21" s="34"/>
      <c r="X21" s="33"/>
      <c r="Y21" s="33"/>
      <c r="Z21" s="33"/>
      <c r="AA21" s="33"/>
      <c r="AB21" s="34"/>
      <c r="AC21" s="34"/>
      <c r="AD21" s="33"/>
      <c r="AE21" s="33"/>
      <c r="AF21" s="26">
        <f t="shared" si="13"/>
        <v>0</v>
      </c>
      <c r="AG21" s="27"/>
    </row>
    <row r="22" spans="1:33" s="11" customFormat="1" ht="23.25" customHeight="1" x14ac:dyDescent="0.2">
      <c r="A22" s="29"/>
      <c r="B22" s="30"/>
      <c r="C22" s="24"/>
      <c r="D22" s="24"/>
      <c r="E22" s="24"/>
      <c r="F22" s="25"/>
      <c r="G22" s="25"/>
      <c r="H22" s="31"/>
      <c r="I22" s="31"/>
      <c r="J22" s="31"/>
      <c r="K22" s="31"/>
      <c r="L22" s="32"/>
      <c r="M22" s="26">
        <f t="shared" si="10"/>
        <v>0</v>
      </c>
      <c r="N22" s="26">
        <f t="shared" si="11"/>
        <v>0</v>
      </c>
      <c r="O22" s="26">
        <f t="shared" si="12"/>
        <v>0</v>
      </c>
      <c r="P22" s="26"/>
      <c r="Q22" s="33"/>
      <c r="R22" s="33"/>
      <c r="S22" s="34"/>
      <c r="T22" s="34"/>
      <c r="U22" s="34"/>
      <c r="V22" s="34"/>
      <c r="W22" s="34"/>
      <c r="X22" s="33"/>
      <c r="Y22" s="33"/>
      <c r="Z22" s="33"/>
      <c r="AA22" s="33"/>
      <c r="AB22" s="34"/>
      <c r="AC22" s="34"/>
      <c r="AD22" s="33"/>
      <c r="AE22" s="33"/>
      <c r="AF22" s="26">
        <f t="shared" ref="AF22:AF23" si="15">-SUM(N22:AE22)</f>
        <v>0</v>
      </c>
      <c r="AG22" s="27">
        <f t="shared" si="14"/>
        <v>0</v>
      </c>
    </row>
    <row r="23" spans="1:33" s="11" customFormat="1" ht="12" thickBot="1" x14ac:dyDescent="0.25">
      <c r="A23" s="29"/>
      <c r="B23" s="30"/>
      <c r="C23" s="35"/>
      <c r="D23" s="35"/>
      <c r="E23" s="35"/>
      <c r="F23" s="25"/>
      <c r="G23" s="28"/>
      <c r="H23" s="31"/>
      <c r="I23" s="31"/>
      <c r="J23" s="31"/>
      <c r="K23" s="31"/>
      <c r="L23" s="32"/>
      <c r="M23" s="33">
        <f>SUM(H23:J23,K23/1.12)</f>
        <v>0</v>
      </c>
      <c r="N23" s="33">
        <f>K23/1.12*0.12</f>
        <v>0</v>
      </c>
      <c r="O23" s="33">
        <f>-SUM(I23:J23,K23/1.12)*L23</f>
        <v>0</v>
      </c>
      <c r="P23" s="33"/>
      <c r="Q23" s="33"/>
      <c r="R23" s="33"/>
      <c r="S23" s="33"/>
      <c r="T23" s="34"/>
      <c r="U23" s="43"/>
      <c r="V23" s="34"/>
      <c r="W23" s="34"/>
      <c r="X23" s="34"/>
      <c r="Y23" s="36"/>
      <c r="Z23" s="33"/>
      <c r="AA23" s="43"/>
      <c r="AB23" s="33"/>
      <c r="AC23" s="34"/>
      <c r="AD23" s="34"/>
      <c r="AE23" s="37"/>
      <c r="AF23" s="26">
        <f t="shared" si="15"/>
        <v>0</v>
      </c>
      <c r="AG23" s="27">
        <f t="shared" si="14"/>
        <v>0</v>
      </c>
    </row>
    <row r="24" spans="1:33" s="9" customFormat="1" ht="12.75" thickTop="1" thickBot="1" x14ac:dyDescent="0.25">
      <c r="A24" s="38"/>
      <c r="B24" s="39"/>
      <c r="C24" s="40"/>
      <c r="D24" s="41"/>
      <c r="E24" s="41"/>
      <c r="F24" s="42"/>
      <c r="G24" s="40"/>
      <c r="H24" s="43">
        <f>SUM(H5:H22)</f>
        <v>420</v>
      </c>
      <c r="I24" s="43">
        <f>SUM(I11:I23)</f>
        <v>0</v>
      </c>
      <c r="J24" s="43">
        <f>SUM(J5:J22)</f>
        <v>0</v>
      </c>
      <c r="K24" s="43">
        <f>SUM(K5:K22)</f>
        <v>10461.6</v>
      </c>
      <c r="L24" s="43">
        <f>SUM(L11:L23)</f>
        <v>0</v>
      </c>
      <c r="M24" s="43">
        <f>SUM(M5:M22)</f>
        <v>9760.7142857142844</v>
      </c>
      <c r="N24" s="43">
        <f>SUM(N5:N22)</f>
        <v>1120.8857142857141</v>
      </c>
      <c r="O24" s="43">
        <f>SUM(O11:O23)</f>
        <v>0</v>
      </c>
      <c r="P24" s="43">
        <f>SUM(P5:P22)</f>
        <v>1506.25</v>
      </c>
      <c r="Q24" s="43">
        <f>SUM(Q5:Q22)</f>
        <v>5626.43</v>
      </c>
      <c r="R24" s="43">
        <f>SUM(R5:R22)</f>
        <v>2048.2199999999998</v>
      </c>
      <c r="S24" s="43">
        <f>SUM(S7:S23)</f>
        <v>185.71</v>
      </c>
      <c r="T24" s="43">
        <f>SUM(T7:T23)</f>
        <v>0</v>
      </c>
      <c r="U24" s="43">
        <f>SUM(U7:U23)</f>
        <v>0</v>
      </c>
      <c r="V24" s="43">
        <f>SUM(V11:V23)</f>
        <v>0</v>
      </c>
      <c r="W24" s="43">
        <f>SUM(W11:W23)</f>
        <v>0</v>
      </c>
      <c r="X24" s="43">
        <f>SUM(X11:X23)</f>
        <v>0</v>
      </c>
      <c r="Y24" s="43">
        <f>SUM(Y11:Y23)</f>
        <v>0</v>
      </c>
      <c r="Z24" s="43">
        <f>SUM(Z11:Z23)</f>
        <v>0</v>
      </c>
      <c r="AA24" s="43">
        <f>SUM(AA5:AA22)</f>
        <v>270</v>
      </c>
      <c r="AB24" s="43">
        <f>SUM(AB11:AB23)</f>
        <v>0</v>
      </c>
      <c r="AC24" s="43">
        <f>SUM(AC5:AC22)</f>
        <v>70.540000000000006</v>
      </c>
      <c r="AD24" s="43">
        <f>SUM(AD5:AD22)</f>
        <v>53.57</v>
      </c>
      <c r="AE24" s="43">
        <f>SUM(AE11:AE23)</f>
        <v>0</v>
      </c>
      <c r="AF24" s="43">
        <f>SUM(AF5:AF22)</f>
        <v>-10881.605714285713</v>
      </c>
      <c r="AG24" s="43">
        <f>SUM(AG11:AG23)</f>
        <v>-2.8571428568611168E-3</v>
      </c>
    </row>
    <row r="25" spans="1:33" s="81" customFormat="1" ht="12" thickTop="1" x14ac:dyDescent="0.2"/>
    <row r="26" spans="1:33" ht="12" x14ac:dyDescent="0.2">
      <c r="K26" s="44">
        <f>H24+J24+K24</f>
        <v>10881.6</v>
      </c>
      <c r="L26" s="8"/>
      <c r="M26" s="7"/>
      <c r="AF26" s="45">
        <f>+AF24</f>
        <v>-10881.605714285713</v>
      </c>
    </row>
    <row r="27" spans="1:33" ht="12" x14ac:dyDescent="0.2">
      <c r="K27" s="44"/>
      <c r="L27" s="8"/>
      <c r="M27" s="7"/>
      <c r="AF27" s="45"/>
    </row>
    <row r="28" spans="1:33" ht="12" x14ac:dyDescent="0.2">
      <c r="K28" s="44"/>
      <c r="L28" s="8"/>
      <c r="M28" s="7"/>
      <c r="AF28" s="45"/>
    </row>
    <row r="29" spans="1:33" x14ac:dyDescent="0.2">
      <c r="K29" s="7"/>
      <c r="L29" s="8"/>
      <c r="M29" s="7"/>
    </row>
    <row r="30" spans="1:33" ht="12.75" x14ac:dyDescent="0.2">
      <c r="C30" s="46" t="s">
        <v>121</v>
      </c>
      <c r="G30" s="9"/>
      <c r="J30" s="48" t="s">
        <v>48</v>
      </c>
      <c r="K30" s="50">
        <v>5233.6000000000004</v>
      </c>
      <c r="L30" s="47"/>
      <c r="M30" s="47"/>
      <c r="N30" s="45"/>
      <c r="O30" s="45"/>
      <c r="P30" s="45"/>
      <c r="Q30" s="45"/>
    </row>
    <row r="31" spans="1:33" ht="12.75" x14ac:dyDescent="0.2">
      <c r="C31" s="46"/>
      <c r="G31" s="9"/>
      <c r="J31" s="48" t="s">
        <v>53</v>
      </c>
      <c r="K31" s="50">
        <f>2815+79+40+150</f>
        <v>3084</v>
      </c>
      <c r="L31" s="47"/>
      <c r="M31" s="47"/>
      <c r="N31" s="45"/>
      <c r="O31" s="45"/>
      <c r="P31" s="45"/>
      <c r="Q31" s="45"/>
    </row>
    <row r="32" spans="1:33" ht="12.75" x14ac:dyDescent="0.2">
      <c r="J32" s="48" t="s">
        <v>49</v>
      </c>
      <c r="K32" s="49">
        <v>2294</v>
      </c>
      <c r="L32" s="8"/>
      <c r="M32" s="7"/>
    </row>
    <row r="33" spans="1:32" ht="12.75" x14ac:dyDescent="0.2">
      <c r="J33" s="48" t="s">
        <v>50</v>
      </c>
      <c r="K33" s="49">
        <f>AA24</f>
        <v>270</v>
      </c>
      <c r="L33" s="8"/>
      <c r="M33" s="7"/>
    </row>
    <row r="34" spans="1:32" ht="12.75" x14ac:dyDescent="0.2">
      <c r="A34" s="1"/>
      <c r="B34" s="1"/>
      <c r="D34" s="1"/>
      <c r="E34" s="1"/>
      <c r="F34" s="1"/>
      <c r="H34" s="1"/>
      <c r="I34" s="1"/>
      <c r="J34" s="51" t="s">
        <v>51</v>
      </c>
      <c r="K34" s="52">
        <f>SUM(K30:K33)</f>
        <v>10881.6</v>
      </c>
      <c r="L34" s="8"/>
      <c r="M34" s="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Z34" s="1"/>
      <c r="AA34" s="1"/>
      <c r="AB34" s="1"/>
      <c r="AC34" s="1"/>
      <c r="AD34" s="1"/>
      <c r="AE34" s="1"/>
      <c r="AF34" s="1"/>
    </row>
    <row r="35" spans="1:32" ht="12" x14ac:dyDescent="0.2">
      <c r="J35" s="45" t="s">
        <v>144</v>
      </c>
      <c r="K35" s="45">
        <v>0</v>
      </c>
    </row>
    <row r="36" spans="1:32" ht="12" x14ac:dyDescent="0.2">
      <c r="H36" s="59"/>
      <c r="I36" s="59"/>
      <c r="J36" s="59" t="s">
        <v>42</v>
      </c>
      <c r="K36" s="59">
        <v>0</v>
      </c>
      <c r="L36" s="71"/>
      <c r="M36" s="72"/>
    </row>
    <row r="37" spans="1:32" ht="12" x14ac:dyDescent="0.2">
      <c r="H37" s="59"/>
      <c r="I37" s="59"/>
      <c r="J37" s="59"/>
      <c r="K37" s="59"/>
    </row>
    <row r="38" spans="1:32" ht="12" x14ac:dyDescent="0.2">
      <c r="H38" s="59"/>
      <c r="I38" s="59"/>
      <c r="J38" s="59"/>
      <c r="K38" s="59"/>
    </row>
    <row r="39" spans="1:32" ht="12" x14ac:dyDescent="0.2">
      <c r="H39" s="59"/>
      <c r="I39" s="59"/>
      <c r="J39" s="59"/>
      <c r="K39" s="59"/>
    </row>
    <row r="40" spans="1:32" ht="12" x14ac:dyDescent="0.2">
      <c r="H40" s="59"/>
      <c r="I40" s="59"/>
      <c r="J40" s="59"/>
      <c r="K40" s="59"/>
    </row>
    <row r="41" spans="1:32" ht="12" x14ac:dyDescent="0.2">
      <c r="H41" s="59"/>
      <c r="I41" s="59"/>
      <c r="J41" s="59"/>
      <c r="K41" s="59"/>
      <c r="Q41" s="2">
        <v>0</v>
      </c>
    </row>
    <row r="42" spans="1:32" ht="12" x14ac:dyDescent="0.2">
      <c r="A42" s="1"/>
      <c r="B42" s="1"/>
      <c r="D42" s="1"/>
      <c r="E42" s="1"/>
      <c r="F42" s="1"/>
      <c r="H42" s="60"/>
      <c r="I42" s="60"/>
      <c r="J42" s="60"/>
      <c r="K42" s="60"/>
      <c r="L42" s="1"/>
      <c r="M42" s="1"/>
      <c r="N42" s="1"/>
      <c r="O42" s="1"/>
      <c r="P42" s="1"/>
      <c r="Q42" s="1"/>
      <c r="R42" s="1"/>
      <c r="S42" s="1"/>
      <c r="Z42" s="1"/>
      <c r="AA42" s="1"/>
      <c r="AB42" s="1"/>
      <c r="AC42" s="1"/>
      <c r="AD42" s="1"/>
      <c r="AE42" s="1"/>
      <c r="AF42" s="1"/>
    </row>
    <row r="43" spans="1:32" ht="12" x14ac:dyDescent="0.2">
      <c r="H43" s="59"/>
      <c r="I43" s="59"/>
      <c r="J43" s="59"/>
      <c r="K43" s="59"/>
    </row>
    <row r="44" spans="1:32" ht="12" x14ac:dyDescent="0.2">
      <c r="H44" s="59"/>
      <c r="I44" s="59"/>
      <c r="J44" s="59"/>
      <c r="K44" s="59"/>
    </row>
    <row r="45" spans="1:32" ht="12" x14ac:dyDescent="0.2">
      <c r="H45" s="59"/>
      <c r="I45" s="59"/>
      <c r="J45" s="59"/>
      <c r="K45" s="59"/>
    </row>
    <row r="46" spans="1:32" ht="12" x14ac:dyDescent="0.2">
      <c r="H46" s="59"/>
      <c r="I46" s="59"/>
      <c r="J46" s="59"/>
      <c r="K46" s="59"/>
    </row>
    <row r="47" spans="1:32" x14ac:dyDescent="0.2">
      <c r="H47" s="61"/>
      <c r="I47" s="61"/>
      <c r="J47" s="61"/>
      <c r="K47" s="61"/>
    </row>
    <row r="48" spans="1:32" x14ac:dyDescent="0.2">
      <c r="H48" s="61"/>
      <c r="I48" s="61"/>
      <c r="J48" s="61"/>
      <c r="K48" s="61"/>
    </row>
    <row r="49" spans="8:11" s="1" customFormat="1" x14ac:dyDescent="0.2">
      <c r="H49" s="61"/>
      <c r="I49" s="61"/>
      <c r="J49" s="61"/>
      <c r="K49" s="61"/>
    </row>
    <row r="50" spans="8:11" s="1" customFormat="1" x14ac:dyDescent="0.2">
      <c r="H50" s="61"/>
      <c r="I50" s="61"/>
      <c r="J50" s="61"/>
      <c r="K50" s="61"/>
    </row>
    <row r="51" spans="8:11" s="1" customFormat="1" x14ac:dyDescent="0.2">
      <c r="H51" s="61"/>
      <c r="I51" s="61"/>
      <c r="J51" s="61"/>
      <c r="K51" s="61"/>
    </row>
  </sheetData>
  <mergeCells count="1">
    <mergeCell ref="A25:XFD25"/>
  </mergeCells>
  <pageMargins left="0.7" right="0.7" top="0.5" bottom="0.25" header="0.3" footer="0.3"/>
  <pageSetup paperSize="5" scale="75" orientation="landscape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workbookViewId="0">
      <pane ySplit="4" topLeftCell="A11" activePane="bottomLeft" state="frozen"/>
      <selection pane="bottomLeft" activeCell="C19" sqref="C19"/>
    </sheetView>
  </sheetViews>
  <sheetFormatPr defaultRowHeight="11.25" x14ac:dyDescent="0.2"/>
  <cols>
    <col min="1" max="1" width="8.140625" style="76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11.140625" style="2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8.5703125" style="2" customWidth="1"/>
    <col min="15" max="15" width="9" style="2" hidden="1" customWidth="1"/>
    <col min="16" max="16" width="9.85546875" style="2" customWidth="1"/>
    <col min="17" max="17" width="10.85546875" style="2" customWidth="1"/>
    <col min="18" max="18" width="10.7109375" style="2" customWidth="1"/>
    <col min="19" max="19" width="9.5703125" style="2" hidden="1" customWidth="1"/>
    <col min="20" max="20" width="9.140625" style="2" customWidth="1"/>
    <col min="21" max="21" width="9.140625" style="2" hidden="1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hidden="1" customWidth="1"/>
    <col min="26" max="26" width="8.28515625" style="2" hidden="1" customWidth="1"/>
    <col min="27" max="27" width="8.7109375" style="2" customWidth="1"/>
    <col min="28" max="28" width="9.5703125" style="2" hidden="1" customWidth="1"/>
    <col min="29" max="29" width="8" style="2" customWidth="1"/>
    <col min="30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3" ht="12" customHeight="1" x14ac:dyDescent="0.2">
      <c r="A1" s="12" t="s">
        <v>30</v>
      </c>
      <c r="C1" s="13"/>
    </row>
    <row r="2" spans="1:33" ht="12" customHeight="1" x14ac:dyDescent="0.2">
      <c r="A2" s="12" t="s">
        <v>26</v>
      </c>
    </row>
    <row r="3" spans="1:33" ht="12" customHeight="1" x14ac:dyDescent="0.2">
      <c r="A3" s="12" t="s">
        <v>178</v>
      </c>
      <c r="B3" s="13"/>
      <c r="C3" s="14"/>
      <c r="N3" s="15">
        <v>1301</v>
      </c>
      <c r="O3" s="15">
        <v>2402</v>
      </c>
      <c r="P3" s="15">
        <v>5001</v>
      </c>
      <c r="Q3" s="15">
        <v>5002</v>
      </c>
      <c r="R3" s="15">
        <v>6220</v>
      </c>
      <c r="S3" s="15">
        <v>6219</v>
      </c>
      <c r="T3" s="15">
        <v>6212</v>
      </c>
      <c r="U3" s="15"/>
      <c r="V3" s="15"/>
      <c r="W3" s="15"/>
      <c r="X3" s="15"/>
      <c r="Y3" s="15" t="s">
        <v>25</v>
      </c>
      <c r="Z3" s="15"/>
      <c r="AA3" s="15">
        <v>6230</v>
      </c>
      <c r="AB3" s="15" t="s">
        <v>24</v>
      </c>
      <c r="AC3" s="15">
        <v>6202</v>
      </c>
      <c r="AD3" s="15"/>
      <c r="AE3" s="15">
        <v>6109</v>
      </c>
      <c r="AF3" s="15">
        <v>1002</v>
      </c>
    </row>
    <row r="4" spans="1:33" s="10" customFormat="1" ht="44.25" customHeight="1" x14ac:dyDescent="0.25">
      <c r="A4" s="16" t="s">
        <v>23</v>
      </c>
      <c r="B4" s="17" t="s">
        <v>22</v>
      </c>
      <c r="C4" s="18" t="s">
        <v>21</v>
      </c>
      <c r="D4" s="18" t="s">
        <v>20</v>
      </c>
      <c r="E4" s="18" t="s">
        <v>27</v>
      </c>
      <c r="F4" s="18" t="s">
        <v>19</v>
      </c>
      <c r="G4" s="18" t="s">
        <v>18</v>
      </c>
      <c r="H4" s="18" t="s">
        <v>17</v>
      </c>
      <c r="I4" s="18" t="s">
        <v>16</v>
      </c>
      <c r="J4" s="18" t="s">
        <v>15</v>
      </c>
      <c r="K4" s="18" t="s">
        <v>14</v>
      </c>
      <c r="L4" s="19" t="s">
        <v>13</v>
      </c>
      <c r="M4" s="18" t="s">
        <v>12</v>
      </c>
      <c r="N4" s="20" t="s">
        <v>11</v>
      </c>
      <c r="O4" s="20" t="s">
        <v>10</v>
      </c>
      <c r="P4" s="20" t="s">
        <v>9</v>
      </c>
      <c r="Q4" s="20" t="s">
        <v>8</v>
      </c>
      <c r="R4" s="20" t="s">
        <v>31</v>
      </c>
      <c r="S4" s="20" t="s">
        <v>163</v>
      </c>
      <c r="T4" s="20" t="s">
        <v>7</v>
      </c>
      <c r="U4" s="20" t="s">
        <v>28</v>
      </c>
      <c r="V4" s="20" t="s">
        <v>32</v>
      </c>
      <c r="W4" s="20" t="s">
        <v>33</v>
      </c>
      <c r="X4" s="20" t="s">
        <v>34</v>
      </c>
      <c r="Y4" s="20" t="s">
        <v>6</v>
      </c>
      <c r="Z4" s="20" t="s">
        <v>29</v>
      </c>
      <c r="AA4" s="20" t="s">
        <v>5</v>
      </c>
      <c r="AB4" s="20" t="s">
        <v>4</v>
      </c>
      <c r="AC4" s="21" t="s">
        <v>174</v>
      </c>
      <c r="AD4" s="20" t="s">
        <v>1</v>
      </c>
      <c r="AE4" s="22" t="s">
        <v>2</v>
      </c>
      <c r="AF4" s="23" t="s">
        <v>0</v>
      </c>
    </row>
    <row r="5" spans="1:33" s="10" customFormat="1" ht="19.5" customHeight="1" x14ac:dyDescent="0.2">
      <c r="A5" s="62">
        <v>40475</v>
      </c>
      <c r="B5" s="17"/>
      <c r="C5" s="24" t="s">
        <v>47</v>
      </c>
      <c r="D5" s="18"/>
      <c r="E5" s="18"/>
      <c r="F5" s="63"/>
      <c r="G5" s="63" t="s">
        <v>126</v>
      </c>
      <c r="H5" s="63">
        <v>70</v>
      </c>
      <c r="I5" s="63"/>
      <c r="J5" s="65"/>
      <c r="K5" s="65"/>
      <c r="L5" s="64"/>
      <c r="M5" s="26">
        <f t="shared" ref="M5:M22" si="0">SUM(H5:J5,K5/1.12)</f>
        <v>70</v>
      </c>
      <c r="N5" s="26">
        <f t="shared" ref="N5:N22" si="1">K5/1.12*0.12</f>
        <v>0</v>
      </c>
      <c r="O5" s="26">
        <f t="shared" ref="O5:O22" si="2">-SUM(I5:J5,K5/1.12)*L5</f>
        <v>0</v>
      </c>
      <c r="P5" s="26"/>
      <c r="Q5" s="33"/>
      <c r="R5" s="33"/>
      <c r="S5" s="34"/>
      <c r="T5" s="34"/>
      <c r="U5" s="34"/>
      <c r="V5" s="34"/>
      <c r="W5" s="34"/>
      <c r="X5" s="33"/>
      <c r="Y5" s="33"/>
      <c r="Z5" s="33"/>
      <c r="AA5" s="33">
        <v>70</v>
      </c>
      <c r="AB5" s="34"/>
      <c r="AC5" s="34"/>
      <c r="AD5" s="33"/>
      <c r="AE5" s="33"/>
      <c r="AF5" s="26">
        <f t="shared" ref="AF5:AF21" si="3">-SUM(N5:AE5)</f>
        <v>-70</v>
      </c>
      <c r="AG5" s="27">
        <f t="shared" ref="AG5:AG23" si="4">SUM(H5:K5)+AF5+O5</f>
        <v>0</v>
      </c>
    </row>
    <row r="6" spans="1:33" s="10" customFormat="1" ht="19.5" customHeight="1" x14ac:dyDescent="0.2">
      <c r="A6" s="62">
        <v>40475</v>
      </c>
      <c r="B6" s="17"/>
      <c r="C6" s="63" t="s">
        <v>127</v>
      </c>
      <c r="D6" s="18"/>
      <c r="E6" s="18"/>
      <c r="F6" s="63">
        <v>204515</v>
      </c>
      <c r="G6" s="63" t="s">
        <v>179</v>
      </c>
      <c r="H6" s="63"/>
      <c r="I6" s="63"/>
      <c r="J6" s="65"/>
      <c r="K6" s="65">
        <v>1256</v>
      </c>
      <c r="L6" s="64"/>
      <c r="M6" s="26">
        <f t="shared" si="0"/>
        <v>1121.4285714285713</v>
      </c>
      <c r="N6" s="26">
        <f t="shared" si="1"/>
        <v>134.57142857142856</v>
      </c>
      <c r="O6" s="26">
        <f t="shared" si="2"/>
        <v>0</v>
      </c>
      <c r="P6" s="26"/>
      <c r="Q6" s="33"/>
      <c r="R6" s="33">
        <v>1121.43</v>
      </c>
      <c r="S6" s="34"/>
      <c r="T6" s="34"/>
      <c r="U6" s="34"/>
      <c r="V6" s="34"/>
      <c r="W6" s="34"/>
      <c r="X6" s="33"/>
      <c r="Y6" s="33"/>
      <c r="Z6" s="33"/>
      <c r="AA6" s="33"/>
      <c r="AB6" s="34"/>
      <c r="AC6" s="34"/>
      <c r="AD6" s="33"/>
      <c r="AE6" s="33"/>
      <c r="AF6" s="26">
        <f t="shared" si="3"/>
        <v>-1256.0014285714287</v>
      </c>
      <c r="AG6" s="27">
        <f t="shared" si="4"/>
        <v>-1.4285714287325391E-3</v>
      </c>
    </row>
    <row r="7" spans="1:33" s="10" customFormat="1" ht="21" customHeight="1" x14ac:dyDescent="0.2">
      <c r="A7" s="62">
        <v>40475</v>
      </c>
      <c r="B7" s="17"/>
      <c r="C7" s="24" t="s">
        <v>38</v>
      </c>
      <c r="D7" s="18"/>
      <c r="E7" s="18"/>
      <c r="F7" s="63">
        <v>130408</v>
      </c>
      <c r="G7" s="63" t="s">
        <v>180</v>
      </c>
      <c r="H7" s="63"/>
      <c r="I7" s="63"/>
      <c r="J7" s="65"/>
      <c r="K7" s="65">
        <v>4847.25</v>
      </c>
      <c r="L7" s="64"/>
      <c r="M7" s="26">
        <f t="shared" si="0"/>
        <v>4327.9017857142853</v>
      </c>
      <c r="N7" s="26">
        <f t="shared" si="1"/>
        <v>519.34821428571422</v>
      </c>
      <c r="O7" s="26">
        <f t="shared" si="2"/>
        <v>0</v>
      </c>
      <c r="P7" s="26">
        <v>4327.8999999999996</v>
      </c>
      <c r="Q7" s="33"/>
      <c r="R7" s="33"/>
      <c r="S7" s="34"/>
      <c r="T7" s="34"/>
      <c r="U7" s="34"/>
      <c r="V7" s="34"/>
      <c r="W7" s="34"/>
      <c r="X7" s="33"/>
      <c r="Y7" s="33"/>
      <c r="Z7" s="33"/>
      <c r="AA7" s="33"/>
      <c r="AB7" s="34"/>
      <c r="AC7" s="34"/>
      <c r="AD7" s="33"/>
      <c r="AE7" s="33"/>
      <c r="AF7" s="26">
        <f t="shared" si="3"/>
        <v>-4847.2482142857134</v>
      </c>
      <c r="AG7" s="27">
        <f t="shared" si="4"/>
        <v>1.7857142865977949E-3</v>
      </c>
    </row>
    <row r="8" spans="1:33" s="10" customFormat="1" ht="18" customHeight="1" x14ac:dyDescent="0.2">
      <c r="A8" s="62">
        <v>40475</v>
      </c>
      <c r="B8" s="17"/>
      <c r="C8" s="24" t="s">
        <v>43</v>
      </c>
      <c r="D8" s="18"/>
      <c r="E8" s="18"/>
      <c r="F8" s="18"/>
      <c r="G8" s="63" t="s">
        <v>181</v>
      </c>
      <c r="H8" s="65">
        <v>110</v>
      </c>
      <c r="I8" s="18"/>
      <c r="J8" s="18"/>
      <c r="K8" s="65"/>
      <c r="L8" s="19"/>
      <c r="M8" s="26">
        <f t="shared" si="0"/>
        <v>110</v>
      </c>
      <c r="N8" s="26">
        <f t="shared" si="1"/>
        <v>0</v>
      </c>
      <c r="O8" s="26">
        <f t="shared" si="2"/>
        <v>0</v>
      </c>
      <c r="P8" s="26"/>
      <c r="Q8" s="33"/>
      <c r="R8" s="33"/>
      <c r="S8" s="34"/>
      <c r="T8" s="34"/>
      <c r="U8" s="34"/>
      <c r="V8" s="34"/>
      <c r="W8" s="34"/>
      <c r="X8" s="33"/>
      <c r="Y8" s="33"/>
      <c r="Z8" s="33"/>
      <c r="AA8" s="33">
        <v>110</v>
      </c>
      <c r="AB8" s="34"/>
      <c r="AC8" s="34"/>
      <c r="AD8" s="33"/>
      <c r="AE8" s="33"/>
      <c r="AF8" s="26">
        <f t="shared" si="3"/>
        <v>-110</v>
      </c>
      <c r="AG8" s="27">
        <f t="shared" si="4"/>
        <v>0</v>
      </c>
    </row>
    <row r="9" spans="1:33" s="10" customFormat="1" ht="21.75" customHeight="1" x14ac:dyDescent="0.2">
      <c r="A9" s="62">
        <v>40475</v>
      </c>
      <c r="B9" s="17"/>
      <c r="C9" s="24" t="s">
        <v>95</v>
      </c>
      <c r="D9" s="63"/>
      <c r="E9" s="63"/>
      <c r="F9" s="63">
        <v>2173</v>
      </c>
      <c r="G9" s="63" t="s">
        <v>173</v>
      </c>
      <c r="H9" s="65"/>
      <c r="I9" s="63"/>
      <c r="J9" s="63"/>
      <c r="K9" s="65">
        <v>105</v>
      </c>
      <c r="L9" s="19"/>
      <c r="M9" s="26">
        <f t="shared" si="0"/>
        <v>93.749999999999986</v>
      </c>
      <c r="N9" s="26">
        <f t="shared" si="1"/>
        <v>11.249999999999998</v>
      </c>
      <c r="O9" s="26">
        <f t="shared" si="2"/>
        <v>0</v>
      </c>
      <c r="P9" s="26"/>
      <c r="Q9" s="33"/>
      <c r="R9" s="33"/>
      <c r="S9" s="78"/>
      <c r="T9" s="34"/>
      <c r="U9" s="34"/>
      <c r="V9" s="34"/>
      <c r="W9" s="34"/>
      <c r="X9" s="33"/>
      <c r="Y9" s="33"/>
      <c r="Z9" s="33"/>
      <c r="AA9" s="33"/>
      <c r="AB9" s="34"/>
      <c r="AC9" s="34">
        <v>93.75</v>
      </c>
      <c r="AD9" s="33"/>
      <c r="AE9" s="33"/>
      <c r="AF9" s="26">
        <f t="shared" si="3"/>
        <v>-105</v>
      </c>
      <c r="AG9" s="27">
        <f t="shared" si="4"/>
        <v>0</v>
      </c>
    </row>
    <row r="10" spans="1:33" s="10" customFormat="1" ht="25.5" customHeight="1" x14ac:dyDescent="0.2">
      <c r="A10" s="62">
        <v>40475</v>
      </c>
      <c r="B10" s="17"/>
      <c r="C10" s="24" t="s">
        <v>95</v>
      </c>
      <c r="D10" s="63"/>
      <c r="E10" s="63"/>
      <c r="F10" s="63">
        <v>2173</v>
      </c>
      <c r="G10" s="63" t="s">
        <v>182</v>
      </c>
      <c r="H10" s="63"/>
      <c r="I10" s="63"/>
      <c r="J10" s="75"/>
      <c r="K10" s="65">
        <f>72+199+156+132.5</f>
        <v>559.5</v>
      </c>
      <c r="L10" s="19"/>
      <c r="M10" s="26">
        <f t="shared" si="0"/>
        <v>499.55357142857139</v>
      </c>
      <c r="N10" s="26">
        <f t="shared" si="1"/>
        <v>59.946428571428562</v>
      </c>
      <c r="O10" s="26">
        <f t="shared" si="2"/>
        <v>0</v>
      </c>
      <c r="P10" s="26">
        <v>499.55</v>
      </c>
      <c r="Q10" s="33"/>
      <c r="R10" s="33"/>
      <c r="S10" s="34"/>
      <c r="T10" s="34"/>
      <c r="U10" s="34"/>
      <c r="V10" s="34"/>
      <c r="W10" s="34"/>
      <c r="X10" s="33"/>
      <c r="Y10" s="33"/>
      <c r="Z10" s="33"/>
      <c r="AA10" s="33"/>
      <c r="AB10" s="34"/>
      <c r="AC10" s="34"/>
      <c r="AD10" s="33"/>
      <c r="AE10" s="33"/>
      <c r="AF10" s="26">
        <f t="shared" si="3"/>
        <v>-559.49642857142862</v>
      </c>
      <c r="AG10" s="27">
        <f t="shared" si="4"/>
        <v>3.5714285713766003E-3</v>
      </c>
    </row>
    <row r="11" spans="1:33" s="11" customFormat="1" ht="23.25" customHeight="1" x14ac:dyDescent="0.2">
      <c r="A11" s="62">
        <v>40474</v>
      </c>
      <c r="B11" s="66"/>
      <c r="C11" s="24" t="s">
        <v>183</v>
      </c>
      <c r="D11" s="24"/>
      <c r="E11" s="24"/>
      <c r="F11" s="25">
        <v>265045</v>
      </c>
      <c r="G11" s="25" t="s">
        <v>184</v>
      </c>
      <c r="H11" s="31"/>
      <c r="I11" s="31"/>
      <c r="J11" s="31"/>
      <c r="K11" s="31">
        <v>265</v>
      </c>
      <c r="L11" s="32"/>
      <c r="M11" s="26">
        <f t="shared" si="0"/>
        <v>236.60714285714283</v>
      </c>
      <c r="N11" s="26">
        <f t="shared" si="1"/>
        <v>28.392857142857139</v>
      </c>
      <c r="O11" s="26">
        <f t="shared" si="2"/>
        <v>0</v>
      </c>
      <c r="P11" s="26">
        <v>236.61</v>
      </c>
      <c r="Q11" s="33"/>
      <c r="R11" s="33"/>
      <c r="S11" s="34"/>
      <c r="T11" s="34"/>
      <c r="U11" s="34"/>
      <c r="V11" s="34"/>
      <c r="W11" s="34"/>
      <c r="X11" s="33"/>
      <c r="Y11" s="33"/>
      <c r="Z11" s="33"/>
      <c r="AA11" s="33"/>
      <c r="AB11" s="34"/>
      <c r="AC11" s="34"/>
      <c r="AD11" s="33"/>
      <c r="AE11" s="33"/>
      <c r="AF11" s="26">
        <f t="shared" si="3"/>
        <v>-265.00285714285712</v>
      </c>
      <c r="AG11" s="27">
        <f t="shared" si="4"/>
        <v>-2.8571428571240176E-3</v>
      </c>
    </row>
    <row r="12" spans="1:33" s="11" customFormat="1" ht="21.75" customHeight="1" x14ac:dyDescent="0.2">
      <c r="A12" s="62">
        <v>40471</v>
      </c>
      <c r="B12" s="30"/>
      <c r="C12" s="24" t="s">
        <v>37</v>
      </c>
      <c r="D12" s="24"/>
      <c r="E12" s="24"/>
      <c r="F12" s="25">
        <v>3222</v>
      </c>
      <c r="G12" s="25" t="s">
        <v>185</v>
      </c>
      <c r="H12" s="31"/>
      <c r="I12" s="31"/>
      <c r="J12" s="31"/>
      <c r="K12" s="31">
        <v>104</v>
      </c>
      <c r="L12" s="32"/>
      <c r="M12" s="26">
        <f t="shared" si="0"/>
        <v>92.857142857142847</v>
      </c>
      <c r="N12" s="26">
        <f t="shared" si="1"/>
        <v>11.142857142857141</v>
      </c>
      <c r="O12" s="26">
        <f t="shared" si="2"/>
        <v>0</v>
      </c>
      <c r="P12" s="26"/>
      <c r="Q12" s="33">
        <v>92.86</v>
      </c>
      <c r="R12" s="33"/>
      <c r="S12" s="34"/>
      <c r="T12" s="34"/>
      <c r="U12" s="34"/>
      <c r="V12" s="34"/>
      <c r="W12" s="34"/>
      <c r="X12" s="33"/>
      <c r="Y12" s="33"/>
      <c r="Z12" s="33"/>
      <c r="AA12" s="33"/>
      <c r="AB12" s="34"/>
      <c r="AC12" s="34"/>
      <c r="AD12" s="33"/>
      <c r="AE12" s="33"/>
      <c r="AF12" s="26">
        <f t="shared" si="3"/>
        <v>-104.00285714285714</v>
      </c>
      <c r="AG12" s="27">
        <f t="shared" si="4"/>
        <v>-2.8571428571382285E-3</v>
      </c>
    </row>
    <row r="13" spans="1:33" s="11" customFormat="1" ht="21" customHeight="1" x14ac:dyDescent="0.2">
      <c r="A13" s="62">
        <v>40471</v>
      </c>
      <c r="B13" s="30"/>
      <c r="C13" s="24" t="s">
        <v>95</v>
      </c>
      <c r="D13" s="24"/>
      <c r="E13" s="24"/>
      <c r="F13" s="25">
        <v>24</v>
      </c>
      <c r="G13" s="25" t="s">
        <v>186</v>
      </c>
      <c r="H13" s="31"/>
      <c r="I13" s="31"/>
      <c r="J13" s="31"/>
      <c r="K13" s="31">
        <v>170</v>
      </c>
      <c r="L13" s="32"/>
      <c r="M13" s="26">
        <f t="shared" si="0"/>
        <v>151.78571428571428</v>
      </c>
      <c r="N13" s="26">
        <f t="shared" si="1"/>
        <v>18.214285714285712</v>
      </c>
      <c r="O13" s="26">
        <f t="shared" si="2"/>
        <v>0</v>
      </c>
      <c r="P13" s="26"/>
      <c r="Q13" s="33">
        <v>151.79</v>
      </c>
      <c r="R13" s="33"/>
      <c r="S13" s="34"/>
      <c r="T13" s="34"/>
      <c r="U13" s="34"/>
      <c r="V13" s="34"/>
      <c r="W13" s="34"/>
      <c r="X13" s="33"/>
      <c r="Y13" s="33"/>
      <c r="Z13" s="33"/>
      <c r="AA13" s="33"/>
      <c r="AB13" s="34"/>
      <c r="AC13" s="34"/>
      <c r="AD13" s="33"/>
      <c r="AE13" s="33"/>
      <c r="AF13" s="26">
        <f t="shared" si="3"/>
        <v>-170.00428571428571</v>
      </c>
      <c r="AG13" s="27">
        <f t="shared" si="4"/>
        <v>-4.2857142857144481E-3</v>
      </c>
    </row>
    <row r="14" spans="1:33" s="11" customFormat="1" ht="18.75" customHeight="1" x14ac:dyDescent="0.2">
      <c r="A14" s="62">
        <v>40472</v>
      </c>
      <c r="B14" s="30"/>
      <c r="C14" s="24" t="s">
        <v>95</v>
      </c>
      <c r="D14" s="24"/>
      <c r="E14" s="24"/>
      <c r="F14" s="25">
        <v>22</v>
      </c>
      <c r="G14" s="25" t="s">
        <v>187</v>
      </c>
      <c r="H14" s="31"/>
      <c r="I14" s="31"/>
      <c r="J14" s="31"/>
      <c r="K14" s="31">
        <v>302.5</v>
      </c>
      <c r="L14" s="32"/>
      <c r="M14" s="26">
        <f t="shared" si="0"/>
        <v>270.08928571428567</v>
      </c>
      <c r="N14" s="26">
        <f t="shared" si="1"/>
        <v>32.410714285714278</v>
      </c>
      <c r="O14" s="26">
        <f t="shared" si="2"/>
        <v>0</v>
      </c>
      <c r="P14" s="26">
        <v>270.08999999999997</v>
      </c>
      <c r="Q14" s="33"/>
      <c r="R14" s="33"/>
      <c r="S14" s="34"/>
      <c r="T14" s="34"/>
      <c r="U14" s="34"/>
      <c r="V14" s="34"/>
      <c r="W14" s="34"/>
      <c r="X14" s="33"/>
      <c r="Y14" s="33"/>
      <c r="Z14" s="33"/>
      <c r="AA14" s="33"/>
      <c r="AB14" s="34"/>
      <c r="AC14" s="34"/>
      <c r="AD14" s="33"/>
      <c r="AE14" s="33"/>
      <c r="AF14" s="26">
        <f t="shared" si="3"/>
        <v>-302.50071428571425</v>
      </c>
      <c r="AG14" s="27">
        <f t="shared" si="4"/>
        <v>-7.1428571425258269E-4</v>
      </c>
    </row>
    <row r="15" spans="1:33" s="11" customFormat="1" ht="18.75" customHeight="1" x14ac:dyDescent="0.2">
      <c r="A15" s="62">
        <v>40478</v>
      </c>
      <c r="B15" s="30"/>
      <c r="C15" s="24" t="s">
        <v>188</v>
      </c>
      <c r="D15" s="24"/>
      <c r="E15" s="24"/>
      <c r="F15" s="25">
        <v>824439</v>
      </c>
      <c r="G15" s="25" t="s">
        <v>189</v>
      </c>
      <c r="H15" s="31"/>
      <c r="I15" s="31"/>
      <c r="J15" s="31"/>
      <c r="K15" s="31">
        <v>239</v>
      </c>
      <c r="L15" s="32"/>
      <c r="M15" s="26">
        <f t="shared" si="0"/>
        <v>213.39285714285711</v>
      </c>
      <c r="N15" s="26">
        <f t="shared" si="1"/>
        <v>25.607142857142851</v>
      </c>
      <c r="O15" s="26">
        <f t="shared" si="2"/>
        <v>0</v>
      </c>
      <c r="P15" s="26"/>
      <c r="Q15" s="33"/>
      <c r="R15" s="33"/>
      <c r="S15" s="34"/>
      <c r="T15" s="34">
        <v>213.39</v>
      </c>
      <c r="U15" s="34"/>
      <c r="V15" s="34"/>
      <c r="W15" s="34"/>
      <c r="X15" s="33"/>
      <c r="Y15" s="33"/>
      <c r="Z15" s="33"/>
      <c r="AA15" s="33"/>
      <c r="AB15" s="34"/>
      <c r="AC15" s="34"/>
      <c r="AD15" s="33"/>
      <c r="AE15" s="33"/>
      <c r="AF15" s="26">
        <f t="shared" si="3"/>
        <v>-238.99714285714285</v>
      </c>
      <c r="AG15" s="27">
        <f t="shared" si="4"/>
        <v>2.8571428571524393E-3</v>
      </c>
    </row>
    <row r="16" spans="1:33" s="11" customFormat="1" ht="18.75" customHeight="1" x14ac:dyDescent="0.2">
      <c r="A16" s="62">
        <v>40478</v>
      </c>
      <c r="B16" s="30"/>
      <c r="C16" s="24" t="s">
        <v>95</v>
      </c>
      <c r="D16" s="24"/>
      <c r="E16" s="24"/>
      <c r="F16" s="25">
        <v>2573</v>
      </c>
      <c r="G16" s="25" t="s">
        <v>190</v>
      </c>
      <c r="H16" s="31"/>
      <c r="I16" s="31"/>
      <c r="J16" s="31"/>
      <c r="K16" s="31">
        <v>215.35</v>
      </c>
      <c r="L16" s="32"/>
      <c r="M16" s="26">
        <f t="shared" si="0"/>
        <v>192.27678571428569</v>
      </c>
      <c r="N16" s="26">
        <f t="shared" si="1"/>
        <v>23.073214285714283</v>
      </c>
      <c r="O16" s="26">
        <f t="shared" si="2"/>
        <v>0</v>
      </c>
      <c r="P16" s="26">
        <v>192.28</v>
      </c>
      <c r="Q16" s="33"/>
      <c r="R16" s="33"/>
      <c r="S16" s="34"/>
      <c r="T16" s="34"/>
      <c r="U16" s="34"/>
      <c r="V16" s="34"/>
      <c r="W16" s="34"/>
      <c r="X16" s="33"/>
      <c r="Y16" s="33"/>
      <c r="Z16" s="33"/>
      <c r="AA16" s="33"/>
      <c r="AB16" s="34"/>
      <c r="AC16" s="34"/>
      <c r="AD16" s="33"/>
      <c r="AE16" s="33"/>
      <c r="AF16" s="26">
        <f t="shared" si="3"/>
        <v>-215.35321428571427</v>
      </c>
      <c r="AG16" s="27">
        <f t="shared" si="4"/>
        <v>-3.2142857142787307E-3</v>
      </c>
    </row>
    <row r="17" spans="1:33" s="11" customFormat="1" ht="18.75" customHeight="1" x14ac:dyDescent="0.2">
      <c r="A17" s="62">
        <v>40477</v>
      </c>
      <c r="B17" s="30"/>
      <c r="C17" s="24" t="s">
        <v>133</v>
      </c>
      <c r="D17" s="24"/>
      <c r="E17" s="24"/>
      <c r="F17" s="25"/>
      <c r="G17" s="25" t="s">
        <v>134</v>
      </c>
      <c r="H17" s="31">
        <v>50</v>
      </c>
      <c r="I17" s="31"/>
      <c r="J17" s="31"/>
      <c r="K17" s="31"/>
      <c r="L17" s="32"/>
      <c r="M17" s="26">
        <f t="shared" si="0"/>
        <v>50</v>
      </c>
      <c r="N17" s="26">
        <f t="shared" si="1"/>
        <v>0</v>
      </c>
      <c r="O17" s="26">
        <f t="shared" si="2"/>
        <v>0</v>
      </c>
      <c r="P17" s="26"/>
      <c r="Q17" s="33"/>
      <c r="R17" s="33"/>
      <c r="S17" s="34"/>
      <c r="T17" s="34"/>
      <c r="U17" s="34"/>
      <c r="V17" s="34"/>
      <c r="W17" s="34"/>
      <c r="X17" s="33"/>
      <c r="Y17" s="33"/>
      <c r="Z17" s="33"/>
      <c r="AA17" s="33">
        <v>50</v>
      </c>
      <c r="AB17" s="34"/>
      <c r="AC17" s="34"/>
      <c r="AD17" s="33"/>
      <c r="AE17" s="33"/>
      <c r="AF17" s="26">
        <f t="shared" si="3"/>
        <v>-50</v>
      </c>
      <c r="AG17" s="27"/>
    </row>
    <row r="18" spans="1:33" s="11" customFormat="1" ht="23.25" customHeight="1" x14ac:dyDescent="0.2">
      <c r="A18" s="62">
        <v>40477</v>
      </c>
      <c r="B18" s="30"/>
      <c r="C18" s="24" t="s">
        <v>131</v>
      </c>
      <c r="D18" s="24"/>
      <c r="E18" s="24"/>
      <c r="F18" s="25"/>
      <c r="G18" s="25" t="s">
        <v>191</v>
      </c>
      <c r="H18" s="31"/>
      <c r="I18" s="31"/>
      <c r="J18" s="31">
        <v>1150</v>
      </c>
      <c r="K18" s="31"/>
      <c r="L18" s="32"/>
      <c r="M18" s="26">
        <f t="shared" si="0"/>
        <v>1150</v>
      </c>
      <c r="N18" s="26">
        <f t="shared" si="1"/>
        <v>0</v>
      </c>
      <c r="O18" s="26">
        <f t="shared" si="2"/>
        <v>0</v>
      </c>
      <c r="P18" s="26">
        <v>1150</v>
      </c>
      <c r="Q18" s="33"/>
      <c r="R18" s="33"/>
      <c r="S18" s="34"/>
      <c r="T18" s="34"/>
      <c r="U18" s="34"/>
      <c r="V18" s="34"/>
      <c r="W18" s="34"/>
      <c r="X18" s="33"/>
      <c r="Y18" s="33"/>
      <c r="Z18" s="33"/>
      <c r="AA18" s="33"/>
      <c r="AB18" s="34"/>
      <c r="AC18" s="34"/>
      <c r="AD18" s="33"/>
      <c r="AE18" s="33"/>
      <c r="AF18" s="26">
        <f t="shared" si="3"/>
        <v>-1150</v>
      </c>
      <c r="AG18" s="27">
        <f t="shared" si="4"/>
        <v>0</v>
      </c>
    </row>
    <row r="19" spans="1:33" s="11" customFormat="1" ht="23.25" customHeight="1" x14ac:dyDescent="0.2">
      <c r="A19" s="62">
        <v>40477</v>
      </c>
      <c r="B19" s="30"/>
      <c r="C19" s="24" t="s">
        <v>37</v>
      </c>
      <c r="D19" s="24"/>
      <c r="E19" s="24"/>
      <c r="F19" s="25">
        <v>54564</v>
      </c>
      <c r="G19" s="25" t="s">
        <v>192</v>
      </c>
      <c r="H19" s="31"/>
      <c r="I19" s="31"/>
      <c r="J19" s="31"/>
      <c r="K19" s="31">
        <v>100</v>
      </c>
      <c r="L19" s="32"/>
      <c r="M19" s="26">
        <f t="shared" si="0"/>
        <v>89.285714285714278</v>
      </c>
      <c r="N19" s="26">
        <f t="shared" si="1"/>
        <v>10.714285714285714</v>
      </c>
      <c r="O19" s="26">
        <f t="shared" si="2"/>
        <v>0</v>
      </c>
      <c r="P19" s="26"/>
      <c r="Q19" s="33"/>
      <c r="R19" s="33"/>
      <c r="S19" s="34"/>
      <c r="T19" s="34">
        <v>89.29</v>
      </c>
      <c r="U19" s="34"/>
      <c r="V19" s="34"/>
      <c r="W19" s="34"/>
      <c r="X19" s="33"/>
      <c r="Y19" s="33"/>
      <c r="Z19" s="33"/>
      <c r="AA19" s="33"/>
      <c r="AB19" s="34"/>
      <c r="AC19" s="34"/>
      <c r="AD19" s="33"/>
      <c r="AE19" s="33"/>
      <c r="AF19" s="26">
        <f t="shared" si="3"/>
        <v>-100.00428571428571</v>
      </c>
      <c r="AG19" s="27"/>
    </row>
    <row r="20" spans="1:33" s="11" customFormat="1" ht="23.25" customHeight="1" x14ac:dyDescent="0.2">
      <c r="A20" s="62">
        <v>40478</v>
      </c>
      <c r="B20" s="30"/>
      <c r="C20" s="24" t="s">
        <v>95</v>
      </c>
      <c r="D20" s="24"/>
      <c r="E20" s="24"/>
      <c r="F20" s="25">
        <v>33</v>
      </c>
      <c r="G20" s="25" t="s">
        <v>193</v>
      </c>
      <c r="H20" s="31"/>
      <c r="I20" s="31"/>
      <c r="J20" s="31"/>
      <c r="K20" s="31">
        <v>400.75</v>
      </c>
      <c r="L20" s="32"/>
      <c r="M20" s="26">
        <f t="shared" si="0"/>
        <v>357.81249999999994</v>
      </c>
      <c r="N20" s="26">
        <f t="shared" si="1"/>
        <v>42.937499999999993</v>
      </c>
      <c r="O20" s="26">
        <f t="shared" si="2"/>
        <v>0</v>
      </c>
      <c r="P20" s="26"/>
      <c r="Q20" s="33"/>
      <c r="R20" s="33"/>
      <c r="S20" s="34"/>
      <c r="T20" s="34"/>
      <c r="U20" s="34"/>
      <c r="V20" s="34"/>
      <c r="W20" s="34"/>
      <c r="X20" s="33"/>
      <c r="Y20" s="33"/>
      <c r="Z20" s="33"/>
      <c r="AA20" s="33"/>
      <c r="AB20" s="34"/>
      <c r="AC20" s="34"/>
      <c r="AD20" s="33"/>
      <c r="AE20" s="33"/>
      <c r="AF20" s="26">
        <f t="shared" si="3"/>
        <v>-42.937499999999993</v>
      </c>
      <c r="AG20" s="27"/>
    </row>
    <row r="21" spans="1:33" s="11" customFormat="1" ht="23.25" customHeight="1" x14ac:dyDescent="0.2">
      <c r="A21" s="62">
        <v>40480</v>
      </c>
      <c r="B21" s="30"/>
      <c r="C21" s="24" t="s">
        <v>194</v>
      </c>
      <c r="D21" s="24"/>
      <c r="E21" s="24"/>
      <c r="F21" s="79">
        <v>511831</v>
      </c>
      <c r="G21" s="25" t="s">
        <v>195</v>
      </c>
      <c r="H21" s="31"/>
      <c r="I21" s="31"/>
      <c r="J21" s="31"/>
      <c r="K21" s="31">
        <v>125</v>
      </c>
      <c r="L21" s="32"/>
      <c r="M21" s="26">
        <f t="shared" si="0"/>
        <v>111.60714285714285</v>
      </c>
      <c r="N21" s="26">
        <f t="shared" si="1"/>
        <v>13.392857142857141</v>
      </c>
      <c r="O21" s="26">
        <f t="shared" si="2"/>
        <v>0</v>
      </c>
      <c r="P21" s="26"/>
      <c r="Q21" s="33">
        <v>111.61</v>
      </c>
      <c r="R21" s="33"/>
      <c r="S21" s="34"/>
      <c r="T21" s="34"/>
      <c r="U21" s="34"/>
      <c r="V21" s="34"/>
      <c r="W21" s="34"/>
      <c r="X21" s="33"/>
      <c r="Y21" s="33"/>
      <c r="Z21" s="33"/>
      <c r="AA21" s="33"/>
      <c r="AB21" s="34"/>
      <c r="AC21" s="34"/>
      <c r="AD21" s="33"/>
      <c r="AE21" s="33"/>
      <c r="AF21" s="26">
        <f t="shared" si="3"/>
        <v>-125.00285714285714</v>
      </c>
      <c r="AG21" s="27"/>
    </row>
    <row r="22" spans="1:33" s="11" customFormat="1" ht="23.25" customHeight="1" x14ac:dyDescent="0.2">
      <c r="A22" s="29"/>
      <c r="B22" s="30"/>
      <c r="C22" s="24"/>
      <c r="D22" s="24"/>
      <c r="E22" s="24"/>
      <c r="F22" s="25"/>
      <c r="G22" s="25"/>
      <c r="H22" s="31"/>
      <c r="I22" s="31"/>
      <c r="J22" s="31"/>
      <c r="K22" s="31"/>
      <c r="L22" s="32"/>
      <c r="M22" s="26">
        <f t="shared" si="0"/>
        <v>0</v>
      </c>
      <c r="N22" s="26">
        <f t="shared" si="1"/>
        <v>0</v>
      </c>
      <c r="O22" s="26">
        <f t="shared" si="2"/>
        <v>0</v>
      </c>
      <c r="P22" s="26"/>
      <c r="Q22" s="33"/>
      <c r="R22" s="33"/>
      <c r="S22" s="34"/>
      <c r="T22" s="34"/>
      <c r="U22" s="34"/>
      <c r="V22" s="34"/>
      <c r="W22" s="34"/>
      <c r="X22" s="33"/>
      <c r="Y22" s="33"/>
      <c r="Z22" s="33"/>
      <c r="AA22" s="33"/>
      <c r="AB22" s="34"/>
      <c r="AC22" s="34"/>
      <c r="AD22" s="33"/>
      <c r="AE22" s="33"/>
      <c r="AF22" s="26">
        <f t="shared" ref="AF22:AF23" si="5">-SUM(N22:AE22)</f>
        <v>0</v>
      </c>
      <c r="AG22" s="27">
        <f t="shared" si="4"/>
        <v>0</v>
      </c>
    </row>
    <row r="23" spans="1:33" s="11" customFormat="1" ht="12" thickBot="1" x14ac:dyDescent="0.25">
      <c r="A23" s="29"/>
      <c r="B23" s="30"/>
      <c r="C23" s="35"/>
      <c r="D23" s="35"/>
      <c r="E23" s="35"/>
      <c r="F23" s="25"/>
      <c r="G23" s="28"/>
      <c r="H23" s="31"/>
      <c r="I23" s="31"/>
      <c r="J23" s="31"/>
      <c r="K23" s="31"/>
      <c r="L23" s="32"/>
      <c r="M23" s="33">
        <f>SUM(H23:J23,K23/1.12)</f>
        <v>0</v>
      </c>
      <c r="N23" s="33">
        <f>K23/1.12*0.12</f>
        <v>0</v>
      </c>
      <c r="O23" s="33">
        <f>-SUM(I23:J23,K23/1.12)*L23</f>
        <v>0</v>
      </c>
      <c r="P23" s="33"/>
      <c r="Q23" s="33"/>
      <c r="R23" s="33"/>
      <c r="S23" s="33"/>
      <c r="T23" s="34"/>
      <c r="U23" s="43"/>
      <c r="V23" s="34"/>
      <c r="W23" s="34"/>
      <c r="X23" s="34"/>
      <c r="Y23" s="36"/>
      <c r="Z23" s="33"/>
      <c r="AA23" s="43"/>
      <c r="AB23" s="33"/>
      <c r="AC23" s="34"/>
      <c r="AD23" s="34"/>
      <c r="AE23" s="37"/>
      <c r="AF23" s="26">
        <f t="shared" si="5"/>
        <v>0</v>
      </c>
      <c r="AG23" s="27">
        <f t="shared" si="4"/>
        <v>0</v>
      </c>
    </row>
    <row r="24" spans="1:33" s="9" customFormat="1" ht="12.75" thickTop="1" thickBot="1" x14ac:dyDescent="0.25">
      <c r="A24" s="38"/>
      <c r="B24" s="39"/>
      <c r="C24" s="40"/>
      <c r="D24" s="41"/>
      <c r="E24" s="41"/>
      <c r="F24" s="42"/>
      <c r="G24" s="40"/>
      <c r="H24" s="43">
        <f>SUM(H5:H22)</f>
        <v>230</v>
      </c>
      <c r="I24" s="43">
        <f>SUM(I11:I23)</f>
        <v>0</v>
      </c>
      <c r="J24" s="43">
        <f>SUM(J5:J22)</f>
        <v>1150</v>
      </c>
      <c r="K24" s="43">
        <f>SUM(K5:K22)</f>
        <v>8689.35</v>
      </c>
      <c r="L24" s="43">
        <f>SUM(L11:L23)</f>
        <v>0</v>
      </c>
      <c r="M24" s="43">
        <f>SUM(M5:M22)</f>
        <v>9138.3482142857138</v>
      </c>
      <c r="N24" s="43">
        <f>SUM(N5:N22)</f>
        <v>931.00178571428546</v>
      </c>
      <c r="O24" s="43">
        <f>SUM(O11:O23)</f>
        <v>0</v>
      </c>
      <c r="P24" s="43">
        <f>SUM(P5:P22)</f>
        <v>6676.4299999999994</v>
      </c>
      <c r="Q24" s="43">
        <f>SUM(Q5:Q22)</f>
        <v>356.26</v>
      </c>
      <c r="R24" s="43">
        <f>SUM(R5:R22)</f>
        <v>1121.43</v>
      </c>
      <c r="S24" s="43">
        <f>SUM(S7:S23)</f>
        <v>0</v>
      </c>
      <c r="T24" s="43">
        <f>SUM(T7:T23)</f>
        <v>302.68</v>
      </c>
      <c r="U24" s="43">
        <f>SUM(U7:U23)</f>
        <v>0</v>
      </c>
      <c r="V24" s="43">
        <f>SUM(V11:V23)</f>
        <v>0</v>
      </c>
      <c r="W24" s="43">
        <f>SUM(W11:W23)</f>
        <v>0</v>
      </c>
      <c r="X24" s="43">
        <f>SUM(X11:X23)</f>
        <v>0</v>
      </c>
      <c r="Y24" s="43">
        <f>SUM(Y11:Y23)</f>
        <v>0</v>
      </c>
      <c r="Z24" s="43">
        <f>SUM(Z11:Z23)</f>
        <v>0</v>
      </c>
      <c r="AA24" s="43">
        <f>SUM(AA5:AA22)</f>
        <v>230</v>
      </c>
      <c r="AB24" s="43">
        <f>SUM(AB11:AB23)</f>
        <v>0</v>
      </c>
      <c r="AC24" s="43">
        <f>SUM(AC5:AC22)</f>
        <v>93.75</v>
      </c>
      <c r="AD24" s="43">
        <f>SUM(AD5:AD22)</f>
        <v>0</v>
      </c>
      <c r="AE24" s="43">
        <f>SUM(AE11:AE23)</f>
        <v>0</v>
      </c>
      <c r="AF24" s="43">
        <f>SUM(AF5:AF22)</f>
        <v>-9711.5517857142841</v>
      </c>
      <c r="AG24" s="43">
        <f>SUM(AG11:AG23)</f>
        <v>-1.1071428571355568E-2</v>
      </c>
    </row>
    <row r="25" spans="1:33" s="81" customFormat="1" ht="12" thickTop="1" x14ac:dyDescent="0.2"/>
    <row r="26" spans="1:33" ht="12" x14ac:dyDescent="0.2">
      <c r="K26" s="44">
        <f>H24+J24+K24</f>
        <v>10069.35</v>
      </c>
      <c r="L26" s="8"/>
      <c r="M26" s="7"/>
      <c r="AF26" s="45">
        <f>+AF24</f>
        <v>-9711.5517857142841</v>
      </c>
    </row>
    <row r="27" spans="1:33" ht="12" x14ac:dyDescent="0.2">
      <c r="K27" s="44"/>
      <c r="L27" s="8"/>
      <c r="M27" s="7"/>
      <c r="AF27" s="45"/>
    </row>
    <row r="28" spans="1:33" ht="12" x14ac:dyDescent="0.2">
      <c r="K28" s="44"/>
      <c r="L28" s="8"/>
      <c r="M28" s="7"/>
      <c r="AF28" s="45"/>
    </row>
    <row r="29" spans="1:33" x14ac:dyDescent="0.2">
      <c r="K29" s="7"/>
      <c r="L29" s="8"/>
      <c r="M29" s="7"/>
    </row>
    <row r="30" spans="1:33" ht="12.75" x14ac:dyDescent="0.2">
      <c r="C30" s="46" t="s">
        <v>121</v>
      </c>
      <c r="G30" s="9"/>
      <c r="J30" s="48" t="s">
        <v>48</v>
      </c>
      <c r="K30" s="50">
        <f>K7+K10+K11+K12+K13+K14+K16+J18+K20+K21</f>
        <v>8139.35</v>
      </c>
      <c r="L30" s="47"/>
      <c r="M30" s="47"/>
      <c r="N30" s="45"/>
      <c r="O30" s="45"/>
      <c r="P30" s="45"/>
      <c r="Q30" s="45"/>
    </row>
    <row r="31" spans="1:33" ht="12.75" x14ac:dyDescent="0.2">
      <c r="C31" s="46"/>
      <c r="G31" s="9"/>
      <c r="J31" s="48" t="s">
        <v>53</v>
      </c>
      <c r="K31" s="50">
        <f>K15+K19</f>
        <v>339</v>
      </c>
      <c r="L31" s="47"/>
      <c r="M31" s="47"/>
      <c r="N31" s="45"/>
      <c r="O31" s="45"/>
      <c r="P31" s="45"/>
      <c r="Q31" s="45"/>
    </row>
    <row r="32" spans="1:33" ht="12.75" x14ac:dyDescent="0.2">
      <c r="J32" s="48" t="s">
        <v>49</v>
      </c>
      <c r="K32" s="49">
        <f>K6+K9</f>
        <v>1361</v>
      </c>
      <c r="L32" s="8"/>
      <c r="M32" s="7"/>
    </row>
    <row r="33" spans="1:32" ht="12.75" x14ac:dyDescent="0.2">
      <c r="J33" s="48" t="s">
        <v>50</v>
      </c>
      <c r="K33" s="49">
        <f>H5+H8+H17</f>
        <v>230</v>
      </c>
      <c r="L33" s="8"/>
      <c r="M33" s="7"/>
    </row>
    <row r="34" spans="1:32" ht="12.75" x14ac:dyDescent="0.2">
      <c r="A34" s="1"/>
      <c r="B34" s="1"/>
      <c r="D34" s="1"/>
      <c r="E34" s="1"/>
      <c r="F34" s="1"/>
      <c r="H34" s="1"/>
      <c r="I34" s="1"/>
      <c r="J34" s="51" t="s">
        <v>51</v>
      </c>
      <c r="K34" s="52">
        <f>SUM(K30:K33)</f>
        <v>10069.35</v>
      </c>
      <c r="L34" s="8"/>
      <c r="M34" s="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Z34" s="1"/>
      <c r="AA34" s="1"/>
      <c r="AB34" s="1"/>
      <c r="AC34" s="1"/>
      <c r="AD34" s="1"/>
      <c r="AE34" s="1"/>
      <c r="AF34" s="1"/>
    </row>
    <row r="35" spans="1:32" ht="12" x14ac:dyDescent="0.2">
      <c r="J35" s="45" t="s">
        <v>144</v>
      </c>
      <c r="K35" s="45">
        <v>10000</v>
      </c>
    </row>
    <row r="36" spans="1:32" ht="12" x14ac:dyDescent="0.2">
      <c r="H36" s="59"/>
      <c r="I36" s="59"/>
      <c r="J36" s="59" t="s">
        <v>42</v>
      </c>
      <c r="K36" s="59">
        <f>K35-K34</f>
        <v>-69.350000000000364</v>
      </c>
      <c r="L36" s="71"/>
      <c r="M36" s="72"/>
    </row>
    <row r="37" spans="1:32" ht="12" x14ac:dyDescent="0.2">
      <c r="H37" s="59"/>
      <c r="I37" s="59"/>
      <c r="J37" s="59"/>
      <c r="K37" s="59"/>
    </row>
    <row r="38" spans="1:32" ht="12" x14ac:dyDescent="0.2">
      <c r="H38" s="59"/>
      <c r="I38" s="59"/>
      <c r="J38" s="59"/>
      <c r="K38" s="59"/>
    </row>
    <row r="39" spans="1:32" ht="12" x14ac:dyDescent="0.2">
      <c r="H39" s="59"/>
      <c r="I39" s="59"/>
      <c r="J39" s="59"/>
      <c r="K39" s="59"/>
    </row>
    <row r="40" spans="1:32" ht="12" x14ac:dyDescent="0.2">
      <c r="H40" s="59"/>
      <c r="I40" s="59"/>
      <c r="J40" s="59"/>
      <c r="K40" s="59"/>
    </row>
    <row r="41" spans="1:32" ht="12" x14ac:dyDescent="0.2">
      <c r="H41" s="59"/>
      <c r="I41" s="59"/>
      <c r="J41" s="59"/>
      <c r="K41" s="59"/>
      <c r="Q41" s="2">
        <v>0</v>
      </c>
    </row>
    <row r="42" spans="1:32" ht="12" x14ac:dyDescent="0.2">
      <c r="A42" s="1"/>
      <c r="B42" s="1"/>
      <c r="D42" s="1"/>
      <c r="E42" s="1"/>
      <c r="F42" s="1"/>
      <c r="H42" s="60"/>
      <c r="I42" s="60"/>
      <c r="J42" s="60"/>
      <c r="K42" s="60"/>
      <c r="L42" s="1"/>
      <c r="M42" s="1"/>
      <c r="N42" s="1"/>
      <c r="O42" s="1"/>
      <c r="P42" s="1"/>
      <c r="Q42" s="1"/>
      <c r="R42" s="1"/>
      <c r="S42" s="1"/>
      <c r="Z42" s="1"/>
      <c r="AA42" s="1"/>
      <c r="AB42" s="1"/>
      <c r="AC42" s="1"/>
      <c r="AD42" s="1"/>
      <c r="AE42" s="1"/>
      <c r="AF42" s="1"/>
    </row>
    <row r="43" spans="1:32" ht="12" x14ac:dyDescent="0.2">
      <c r="H43" s="59"/>
      <c r="I43" s="59"/>
      <c r="J43" s="59"/>
      <c r="K43" s="59"/>
    </row>
    <row r="44" spans="1:32" ht="12" x14ac:dyDescent="0.2">
      <c r="H44" s="59"/>
      <c r="I44" s="59"/>
      <c r="J44" s="59"/>
      <c r="K44" s="59"/>
    </row>
    <row r="45" spans="1:32" ht="12" x14ac:dyDescent="0.2">
      <c r="H45" s="59"/>
      <c r="I45" s="59"/>
      <c r="J45" s="59"/>
      <c r="K45" s="59"/>
    </row>
    <row r="46" spans="1:32" ht="12" x14ac:dyDescent="0.2">
      <c r="H46" s="59"/>
      <c r="I46" s="59"/>
      <c r="J46" s="59"/>
      <c r="K46" s="59"/>
    </row>
    <row r="47" spans="1:32" x14ac:dyDescent="0.2">
      <c r="H47" s="61"/>
      <c r="I47" s="61"/>
      <c r="J47" s="61"/>
      <c r="K47" s="61"/>
    </row>
    <row r="48" spans="1:32" x14ac:dyDescent="0.2">
      <c r="H48" s="61"/>
      <c r="I48" s="61"/>
      <c r="J48" s="61"/>
      <c r="K48" s="61"/>
    </row>
    <row r="49" spans="8:11" s="1" customFormat="1" x14ac:dyDescent="0.2">
      <c r="H49" s="61"/>
      <c r="I49" s="61"/>
      <c r="J49" s="61"/>
      <c r="K49" s="61"/>
    </row>
    <row r="50" spans="8:11" s="1" customFormat="1" x14ac:dyDescent="0.2">
      <c r="H50" s="61"/>
      <c r="I50" s="61"/>
      <c r="J50" s="61"/>
      <c r="K50" s="61"/>
    </row>
    <row r="51" spans="8:11" s="1" customFormat="1" x14ac:dyDescent="0.2">
      <c r="H51" s="61"/>
      <c r="I51" s="61"/>
      <c r="J51" s="61"/>
      <c r="K51" s="61"/>
    </row>
  </sheetData>
  <mergeCells count="1">
    <mergeCell ref="A25:XFD25"/>
  </mergeCells>
  <pageMargins left="0.7" right="0.7" top="0.75" bottom="0.75" header="0.3" footer="0.3"/>
  <pageSetup paperSize="5" scale="80" orientation="landscape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workbookViewId="0">
      <selection activeCell="C8" sqref="C8"/>
    </sheetView>
  </sheetViews>
  <sheetFormatPr defaultRowHeight="11.25" x14ac:dyDescent="0.2"/>
  <cols>
    <col min="1" max="1" width="8.140625" style="77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11.140625" style="2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8.5703125" style="2" hidden="1" customWidth="1"/>
    <col min="15" max="15" width="9" style="2" hidden="1" customWidth="1"/>
    <col min="16" max="16" width="9.85546875" style="2" customWidth="1"/>
    <col min="17" max="17" width="10.85546875" style="2" hidden="1" customWidth="1"/>
    <col min="18" max="18" width="10.7109375" style="2" hidden="1" customWidth="1"/>
    <col min="19" max="19" width="9.5703125" style="2" hidden="1" customWidth="1"/>
    <col min="20" max="21" width="9.140625" style="2" hidden="1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customWidth="1"/>
    <col min="26" max="26" width="8.28515625" style="2" hidden="1" customWidth="1"/>
    <col min="27" max="27" width="8.7109375" style="2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3" ht="12" customHeight="1" x14ac:dyDescent="0.2">
      <c r="A1" s="12" t="s">
        <v>30</v>
      </c>
      <c r="C1" s="13"/>
    </row>
    <row r="2" spans="1:33" ht="12" customHeight="1" x14ac:dyDescent="0.2">
      <c r="A2" s="12" t="s">
        <v>26</v>
      </c>
    </row>
    <row r="3" spans="1:33" ht="12" customHeight="1" x14ac:dyDescent="0.2">
      <c r="A3" s="12" t="s">
        <v>204</v>
      </c>
      <c r="B3" s="13"/>
      <c r="C3" s="14"/>
      <c r="N3" s="15">
        <v>1301</v>
      </c>
      <c r="O3" s="15">
        <v>2402</v>
      </c>
      <c r="P3" s="15">
        <v>5001</v>
      </c>
      <c r="Q3" s="15">
        <v>5002</v>
      </c>
      <c r="R3" s="15">
        <v>6220</v>
      </c>
      <c r="S3" s="15">
        <v>6219</v>
      </c>
      <c r="T3" s="15">
        <v>6212</v>
      </c>
      <c r="U3" s="15"/>
      <c r="V3" s="15"/>
      <c r="W3" s="15"/>
      <c r="X3" s="15"/>
      <c r="Y3" s="15" t="s">
        <v>25</v>
      </c>
      <c r="Z3" s="15"/>
      <c r="AA3" s="15">
        <v>6230</v>
      </c>
      <c r="AB3" s="15" t="s">
        <v>24</v>
      </c>
      <c r="AC3" s="15">
        <v>6202</v>
      </c>
      <c r="AD3" s="15"/>
      <c r="AE3" s="15">
        <v>6109</v>
      </c>
      <c r="AF3" s="15">
        <v>1002</v>
      </c>
    </row>
    <row r="4" spans="1:33" s="10" customFormat="1" ht="44.25" customHeight="1" x14ac:dyDescent="0.25">
      <c r="A4" s="16" t="s">
        <v>23</v>
      </c>
      <c r="B4" s="17" t="s">
        <v>22</v>
      </c>
      <c r="C4" s="18" t="s">
        <v>21</v>
      </c>
      <c r="D4" s="18" t="s">
        <v>20</v>
      </c>
      <c r="E4" s="18" t="s">
        <v>27</v>
      </c>
      <c r="F4" s="18" t="s">
        <v>19</v>
      </c>
      <c r="G4" s="18" t="s">
        <v>18</v>
      </c>
      <c r="H4" s="18" t="s">
        <v>17</v>
      </c>
      <c r="I4" s="18" t="s">
        <v>16</v>
      </c>
      <c r="J4" s="18" t="s">
        <v>15</v>
      </c>
      <c r="K4" s="18" t="s">
        <v>14</v>
      </c>
      <c r="L4" s="19" t="s">
        <v>13</v>
      </c>
      <c r="M4" s="18" t="s">
        <v>12</v>
      </c>
      <c r="N4" s="20" t="s">
        <v>11</v>
      </c>
      <c r="O4" s="20" t="s">
        <v>10</v>
      </c>
      <c r="P4" s="20" t="s">
        <v>9</v>
      </c>
      <c r="Q4" s="20" t="s">
        <v>8</v>
      </c>
      <c r="R4" s="20" t="s">
        <v>31</v>
      </c>
      <c r="S4" s="20" t="s">
        <v>163</v>
      </c>
      <c r="T4" s="20" t="s">
        <v>7</v>
      </c>
      <c r="U4" s="20" t="s">
        <v>28</v>
      </c>
      <c r="V4" s="20" t="s">
        <v>32</v>
      </c>
      <c r="W4" s="20" t="s">
        <v>33</v>
      </c>
      <c r="X4" s="20" t="s">
        <v>34</v>
      </c>
      <c r="Y4" s="20" t="s">
        <v>6</v>
      </c>
      <c r="Z4" s="20" t="s">
        <v>29</v>
      </c>
      <c r="AA4" s="20" t="s">
        <v>5</v>
      </c>
      <c r="AB4" s="20" t="s">
        <v>4</v>
      </c>
      <c r="AC4" s="21" t="s">
        <v>174</v>
      </c>
      <c r="AD4" s="20" t="s">
        <v>1</v>
      </c>
      <c r="AE4" s="22" t="s">
        <v>2</v>
      </c>
      <c r="AF4" s="23" t="s">
        <v>0</v>
      </c>
    </row>
    <row r="5" spans="1:33" s="10" customFormat="1" ht="19.5" customHeight="1" x14ac:dyDescent="0.2">
      <c r="A5" s="62">
        <v>40475</v>
      </c>
      <c r="B5" s="17"/>
      <c r="C5" s="24" t="s">
        <v>205</v>
      </c>
      <c r="D5" s="18"/>
      <c r="E5" s="18"/>
      <c r="F5" s="63">
        <v>4935</v>
      </c>
      <c r="G5" s="63" t="s">
        <v>206</v>
      </c>
      <c r="H5" s="63"/>
      <c r="I5" s="63"/>
      <c r="J5" s="65">
        <v>1300</v>
      </c>
      <c r="K5" s="65"/>
      <c r="L5" s="64"/>
      <c r="M5" s="26">
        <f t="shared" ref="M5:M11" si="0">SUM(H5:J5,K5/1.12)</f>
        <v>1300</v>
      </c>
      <c r="N5" s="26">
        <f t="shared" ref="N5:N11" si="1">K5/1.12*0.12</f>
        <v>0</v>
      </c>
      <c r="O5" s="26">
        <f t="shared" ref="O5:O11" si="2">-SUM(I5:J5,K5/1.12)*L5</f>
        <v>0</v>
      </c>
      <c r="P5" s="26"/>
      <c r="Q5" s="33"/>
      <c r="R5" s="33"/>
      <c r="S5" s="34"/>
      <c r="T5" s="34"/>
      <c r="U5" s="34"/>
      <c r="V5" s="34"/>
      <c r="W5" s="34"/>
      <c r="X5" s="33"/>
      <c r="Y5" s="33">
        <v>1300</v>
      </c>
      <c r="Z5" s="33"/>
      <c r="AA5" s="33"/>
      <c r="AB5" s="34"/>
      <c r="AC5" s="34"/>
      <c r="AD5" s="33"/>
      <c r="AE5" s="33"/>
      <c r="AF5" s="26">
        <f t="shared" ref="AF5:AF10" si="3">-SUM(N5:AE5)</f>
        <v>-1300</v>
      </c>
      <c r="AG5" s="27">
        <f t="shared" ref="AG5:AG12" si="4">SUM(H5:K5)+AF5+O5</f>
        <v>0</v>
      </c>
    </row>
    <row r="6" spans="1:33" s="10" customFormat="1" ht="19.5" customHeight="1" x14ac:dyDescent="0.2">
      <c r="A6" s="62">
        <v>40475</v>
      </c>
      <c r="B6" s="17"/>
      <c r="C6" s="63" t="s">
        <v>177</v>
      </c>
      <c r="D6" s="18"/>
      <c r="E6" s="18"/>
      <c r="F6" s="63"/>
      <c r="G6" s="63" t="s">
        <v>207</v>
      </c>
      <c r="H6" s="65">
        <v>500</v>
      </c>
      <c r="I6" s="63"/>
      <c r="J6" s="65"/>
      <c r="K6" s="65"/>
      <c r="L6" s="64"/>
      <c r="M6" s="26">
        <f t="shared" si="0"/>
        <v>500</v>
      </c>
      <c r="N6" s="26">
        <f t="shared" si="1"/>
        <v>0</v>
      </c>
      <c r="O6" s="26">
        <f t="shared" si="2"/>
        <v>0</v>
      </c>
      <c r="P6" s="26"/>
      <c r="Q6" s="33"/>
      <c r="R6" s="33"/>
      <c r="S6" s="34"/>
      <c r="T6" s="34"/>
      <c r="U6" s="34"/>
      <c r="V6" s="34"/>
      <c r="W6" s="34"/>
      <c r="X6" s="33"/>
      <c r="Y6" s="33"/>
      <c r="Z6" s="33"/>
      <c r="AA6" s="33">
        <v>500</v>
      </c>
      <c r="AB6" s="34"/>
      <c r="AC6" s="34"/>
      <c r="AD6" s="33"/>
      <c r="AE6" s="33"/>
      <c r="AF6" s="26">
        <f t="shared" si="3"/>
        <v>-500</v>
      </c>
      <c r="AG6" s="27">
        <f t="shared" si="4"/>
        <v>0</v>
      </c>
    </row>
    <row r="7" spans="1:33" s="10" customFormat="1" ht="21" customHeight="1" x14ac:dyDescent="0.2">
      <c r="A7" s="62">
        <v>40481</v>
      </c>
      <c r="B7" s="17"/>
      <c r="C7" s="24" t="s">
        <v>208</v>
      </c>
      <c r="D7" s="18"/>
      <c r="E7" s="18"/>
      <c r="F7" s="63"/>
      <c r="G7" s="63" t="s">
        <v>209</v>
      </c>
      <c r="H7" s="65">
        <v>80</v>
      </c>
      <c r="I7" s="63"/>
      <c r="J7" s="65"/>
      <c r="K7" s="65"/>
      <c r="L7" s="64"/>
      <c r="M7" s="26">
        <f t="shared" si="0"/>
        <v>80</v>
      </c>
      <c r="N7" s="26">
        <f t="shared" si="1"/>
        <v>0</v>
      </c>
      <c r="O7" s="26">
        <f t="shared" si="2"/>
        <v>0</v>
      </c>
      <c r="P7" s="26"/>
      <c r="Q7" s="33"/>
      <c r="R7" s="33"/>
      <c r="S7" s="34"/>
      <c r="T7" s="34"/>
      <c r="U7" s="34"/>
      <c r="V7" s="34"/>
      <c r="W7" s="34"/>
      <c r="X7" s="33"/>
      <c r="Y7" s="33">
        <v>80</v>
      </c>
      <c r="Z7" s="33"/>
      <c r="AA7" s="33"/>
      <c r="AB7" s="34"/>
      <c r="AC7" s="34"/>
      <c r="AD7" s="33"/>
      <c r="AE7" s="33"/>
      <c r="AF7" s="26">
        <f t="shared" si="3"/>
        <v>-80</v>
      </c>
      <c r="AG7" s="27">
        <f t="shared" si="4"/>
        <v>0</v>
      </c>
    </row>
    <row r="8" spans="1:33" s="10" customFormat="1" ht="18" customHeight="1" x14ac:dyDescent="0.2">
      <c r="A8" s="62">
        <v>40482</v>
      </c>
      <c r="B8" s="17"/>
      <c r="C8" s="24" t="s">
        <v>95</v>
      </c>
      <c r="D8" s="18"/>
      <c r="E8" s="18"/>
      <c r="F8" s="63">
        <v>2492</v>
      </c>
      <c r="G8" s="63" t="s">
        <v>55</v>
      </c>
      <c r="H8" s="65"/>
      <c r="I8" s="18"/>
      <c r="J8" s="63">
        <v>108.65</v>
      </c>
      <c r="K8" s="65"/>
      <c r="L8" s="19"/>
      <c r="M8" s="26">
        <f t="shared" si="0"/>
        <v>108.65</v>
      </c>
      <c r="N8" s="26">
        <f t="shared" si="1"/>
        <v>0</v>
      </c>
      <c r="O8" s="26">
        <f t="shared" si="2"/>
        <v>0</v>
      </c>
      <c r="P8" s="26">
        <v>108.65</v>
      </c>
      <c r="Q8" s="33"/>
      <c r="R8" s="33"/>
      <c r="S8" s="34"/>
      <c r="T8" s="34"/>
      <c r="U8" s="34"/>
      <c r="V8" s="34"/>
      <c r="W8" s="34"/>
      <c r="X8" s="33"/>
      <c r="Y8" s="33"/>
      <c r="Z8" s="33"/>
      <c r="AA8" s="33"/>
      <c r="AB8" s="34"/>
      <c r="AC8" s="34"/>
      <c r="AD8" s="33"/>
      <c r="AE8" s="33"/>
      <c r="AF8" s="26">
        <f t="shared" si="3"/>
        <v>-108.65</v>
      </c>
      <c r="AG8" s="27">
        <f t="shared" si="4"/>
        <v>0</v>
      </c>
    </row>
    <row r="9" spans="1:33" s="10" customFormat="1" ht="21.75" hidden="1" customHeight="1" x14ac:dyDescent="0.2">
      <c r="A9" s="62"/>
      <c r="B9" s="17"/>
      <c r="C9" s="24"/>
      <c r="D9" s="18"/>
      <c r="E9" s="18"/>
      <c r="F9" s="63"/>
      <c r="G9" s="63"/>
      <c r="H9" s="65"/>
      <c r="I9" s="63"/>
      <c r="J9" s="63"/>
      <c r="K9" s="65"/>
      <c r="L9" s="19"/>
      <c r="M9" s="26">
        <f t="shared" si="0"/>
        <v>0</v>
      </c>
      <c r="N9" s="26">
        <f t="shared" si="1"/>
        <v>0</v>
      </c>
      <c r="O9" s="26">
        <f t="shared" si="2"/>
        <v>0</v>
      </c>
      <c r="P9" s="26"/>
      <c r="Q9" s="33"/>
      <c r="R9" s="33"/>
      <c r="S9" s="78"/>
      <c r="T9" s="34"/>
      <c r="U9" s="34"/>
      <c r="V9" s="34"/>
      <c r="W9" s="34"/>
      <c r="X9" s="33"/>
      <c r="Y9" s="33"/>
      <c r="Z9" s="33"/>
      <c r="AA9" s="33"/>
      <c r="AB9" s="34"/>
      <c r="AC9" s="34"/>
      <c r="AD9" s="33"/>
      <c r="AE9" s="33"/>
      <c r="AF9" s="26">
        <f t="shared" si="3"/>
        <v>0</v>
      </c>
      <c r="AG9" s="27">
        <f t="shared" si="4"/>
        <v>0</v>
      </c>
    </row>
    <row r="10" spans="1:33" s="10" customFormat="1" ht="25.5" hidden="1" customHeight="1" x14ac:dyDescent="0.2">
      <c r="A10" s="62"/>
      <c r="B10" s="17"/>
      <c r="C10" s="24"/>
      <c r="D10" s="63"/>
      <c r="E10" s="63"/>
      <c r="F10" s="63"/>
      <c r="G10" s="63"/>
      <c r="H10" s="63"/>
      <c r="I10" s="63"/>
      <c r="J10" s="75"/>
      <c r="K10" s="65"/>
      <c r="L10" s="19"/>
      <c r="M10" s="26">
        <f t="shared" si="0"/>
        <v>0</v>
      </c>
      <c r="N10" s="26">
        <f t="shared" si="1"/>
        <v>0</v>
      </c>
      <c r="O10" s="26">
        <f t="shared" si="2"/>
        <v>0</v>
      </c>
      <c r="P10" s="26"/>
      <c r="Q10" s="33"/>
      <c r="R10" s="33"/>
      <c r="S10" s="34"/>
      <c r="T10" s="34"/>
      <c r="U10" s="34"/>
      <c r="V10" s="34"/>
      <c r="W10" s="34"/>
      <c r="X10" s="33"/>
      <c r="Y10" s="33"/>
      <c r="Z10" s="33"/>
      <c r="AA10" s="33"/>
      <c r="AB10" s="34"/>
      <c r="AC10" s="34"/>
      <c r="AD10" s="33"/>
      <c r="AE10" s="33"/>
      <c r="AF10" s="26">
        <f t="shared" si="3"/>
        <v>0</v>
      </c>
      <c r="AG10" s="27">
        <f t="shared" si="4"/>
        <v>0</v>
      </c>
    </row>
    <row r="11" spans="1:33" s="11" customFormat="1" ht="23.25" customHeight="1" x14ac:dyDescent="0.2">
      <c r="A11" s="29"/>
      <c r="B11" s="30"/>
      <c r="C11" s="24"/>
      <c r="D11" s="24"/>
      <c r="E11" s="24"/>
      <c r="F11" s="25"/>
      <c r="G11" s="25"/>
      <c r="H11" s="31"/>
      <c r="I11" s="31"/>
      <c r="J11" s="31"/>
      <c r="K11" s="31"/>
      <c r="L11" s="32"/>
      <c r="M11" s="26">
        <f t="shared" si="0"/>
        <v>0</v>
      </c>
      <c r="N11" s="26">
        <f t="shared" si="1"/>
        <v>0</v>
      </c>
      <c r="O11" s="26">
        <f t="shared" si="2"/>
        <v>0</v>
      </c>
      <c r="P11" s="26"/>
      <c r="Q11" s="33"/>
      <c r="R11" s="33"/>
      <c r="S11" s="34"/>
      <c r="T11" s="34"/>
      <c r="U11" s="34"/>
      <c r="V11" s="34"/>
      <c r="W11" s="34"/>
      <c r="X11" s="33"/>
      <c r="Y11" s="33"/>
      <c r="Z11" s="33"/>
      <c r="AA11" s="33"/>
      <c r="AB11" s="34"/>
      <c r="AC11" s="34"/>
      <c r="AD11" s="33"/>
      <c r="AE11" s="33"/>
      <c r="AF11" s="26">
        <f t="shared" ref="AF11:AF12" si="5">-SUM(N11:AE11)</f>
        <v>0</v>
      </c>
      <c r="AG11" s="27">
        <f t="shared" si="4"/>
        <v>0</v>
      </c>
    </row>
    <row r="12" spans="1:33" s="11" customFormat="1" ht="12" thickBot="1" x14ac:dyDescent="0.25">
      <c r="A12" s="29"/>
      <c r="B12" s="30"/>
      <c r="C12" s="35"/>
      <c r="D12" s="35"/>
      <c r="E12" s="35"/>
      <c r="F12" s="25"/>
      <c r="G12" s="28"/>
      <c r="H12" s="31"/>
      <c r="I12" s="31"/>
      <c r="J12" s="31"/>
      <c r="K12" s="31"/>
      <c r="L12" s="32"/>
      <c r="M12" s="33">
        <f>SUM(H12:J12,K12/1.12)</f>
        <v>0</v>
      </c>
      <c r="N12" s="33">
        <f>K12/1.12*0.12</f>
        <v>0</v>
      </c>
      <c r="O12" s="33">
        <f>-SUM(I12:J12,K12/1.12)*L12</f>
        <v>0</v>
      </c>
      <c r="P12" s="33"/>
      <c r="Q12" s="33"/>
      <c r="R12" s="33"/>
      <c r="S12" s="33"/>
      <c r="T12" s="34"/>
      <c r="U12" s="43"/>
      <c r="V12" s="34"/>
      <c r="W12" s="34"/>
      <c r="X12" s="34"/>
      <c r="Y12" s="36"/>
      <c r="Z12" s="33"/>
      <c r="AA12" s="43"/>
      <c r="AB12" s="33"/>
      <c r="AC12" s="34"/>
      <c r="AD12" s="34"/>
      <c r="AE12" s="37"/>
      <c r="AF12" s="26">
        <f t="shared" si="5"/>
        <v>0</v>
      </c>
      <c r="AG12" s="27">
        <f t="shared" si="4"/>
        <v>0</v>
      </c>
    </row>
    <row r="13" spans="1:33" s="9" customFormat="1" ht="12.75" thickTop="1" thickBot="1" x14ac:dyDescent="0.25">
      <c r="A13" s="38"/>
      <c r="B13" s="39"/>
      <c r="C13" s="40"/>
      <c r="D13" s="41"/>
      <c r="E13" s="41"/>
      <c r="F13" s="42"/>
      <c r="G13" s="40"/>
      <c r="H13" s="43">
        <f>SUM(H5:H11)</f>
        <v>580</v>
      </c>
      <c r="I13" s="43">
        <f>SUM(I11:I12)</f>
        <v>0</v>
      </c>
      <c r="J13" s="43">
        <f>SUM(J5:J11)</f>
        <v>1408.65</v>
      </c>
      <c r="K13" s="43">
        <f>SUM(K5:K11)</f>
        <v>0</v>
      </c>
      <c r="L13" s="43">
        <f>SUM(L11:L12)</f>
        <v>0</v>
      </c>
      <c r="M13" s="43">
        <f>SUM(M5:M11)</f>
        <v>1988.65</v>
      </c>
      <c r="N13" s="43">
        <f>SUM(N5:N11)</f>
        <v>0</v>
      </c>
      <c r="O13" s="43">
        <f>SUM(O11:O12)</f>
        <v>0</v>
      </c>
      <c r="P13" s="43">
        <f>SUM(P5:P11)</f>
        <v>108.65</v>
      </c>
      <c r="Q13" s="43">
        <f>SUM(Q5:Q11)</f>
        <v>0</v>
      </c>
      <c r="R13" s="43">
        <f>SUM(R5:R11)</f>
        <v>0</v>
      </c>
      <c r="S13" s="43">
        <f>SUM(S7:S12)</f>
        <v>0</v>
      </c>
      <c r="T13" s="43">
        <f>SUM(T7:T12)</f>
        <v>0</v>
      </c>
      <c r="U13" s="43">
        <f>SUM(U7:U12)</f>
        <v>0</v>
      </c>
      <c r="V13" s="43">
        <f>SUM(V11:V12)</f>
        <v>0</v>
      </c>
      <c r="W13" s="43">
        <f>SUM(W11:W12)</f>
        <v>0</v>
      </c>
      <c r="X13" s="43">
        <f>SUM(X11:X12)</f>
        <v>0</v>
      </c>
      <c r="Y13" s="43">
        <f>Y5+Y7</f>
        <v>1380</v>
      </c>
      <c r="Z13" s="43">
        <f>SUM(Z11:Z12)</f>
        <v>0</v>
      </c>
      <c r="AA13" s="43">
        <f>SUM(AA5:AA11)</f>
        <v>500</v>
      </c>
      <c r="AB13" s="43">
        <f>SUM(AB11:AB12)</f>
        <v>0</v>
      </c>
      <c r="AC13" s="43">
        <f>SUM(AC5:AC11)</f>
        <v>0</v>
      </c>
      <c r="AD13" s="43">
        <f>SUM(AD5:AD11)</f>
        <v>0</v>
      </c>
      <c r="AE13" s="43">
        <f>SUM(AE11:AE12)</f>
        <v>0</v>
      </c>
      <c r="AF13" s="43">
        <f>SUM(AF5:AF11)</f>
        <v>-1988.65</v>
      </c>
      <c r="AG13" s="43">
        <f>SUM(AG11:AG12)</f>
        <v>0</v>
      </c>
    </row>
    <row r="14" spans="1:33" s="81" customFormat="1" ht="12" thickTop="1" x14ac:dyDescent="0.2"/>
    <row r="15" spans="1:33" ht="12" x14ac:dyDescent="0.2">
      <c r="K15" s="44">
        <f>H13+J13+K13</f>
        <v>1988.65</v>
      </c>
      <c r="L15" s="8"/>
      <c r="M15" s="7"/>
      <c r="AF15" s="45">
        <f>+AF13</f>
        <v>-1988.65</v>
      </c>
    </row>
    <row r="16" spans="1:33" ht="12" x14ac:dyDescent="0.2">
      <c r="K16" s="44"/>
      <c r="L16" s="8"/>
      <c r="M16" s="7"/>
      <c r="AF16" s="45"/>
    </row>
    <row r="17" spans="1:32" ht="12" x14ac:dyDescent="0.2">
      <c r="K17" s="44"/>
      <c r="L17" s="8"/>
      <c r="M17" s="7"/>
      <c r="AF17" s="45"/>
    </row>
    <row r="18" spans="1:32" x14ac:dyDescent="0.2">
      <c r="K18" s="7"/>
      <c r="L18" s="8"/>
      <c r="M18" s="7"/>
    </row>
    <row r="19" spans="1:32" ht="12.75" x14ac:dyDescent="0.2">
      <c r="C19" s="46" t="s">
        <v>121</v>
      </c>
      <c r="G19" s="9"/>
      <c r="J19" s="48" t="s">
        <v>48</v>
      </c>
      <c r="K19" s="50">
        <f>J8</f>
        <v>108.65</v>
      </c>
      <c r="L19" s="47"/>
      <c r="M19" s="47"/>
      <c r="N19" s="45"/>
      <c r="O19" s="45"/>
      <c r="P19" s="45"/>
      <c r="Q19" s="45"/>
    </row>
    <row r="20" spans="1:32" ht="12.75" x14ac:dyDescent="0.2">
      <c r="C20" s="46"/>
      <c r="G20" s="9"/>
      <c r="J20" s="48" t="s">
        <v>53</v>
      </c>
      <c r="K20" s="50">
        <f>J5</f>
        <v>1300</v>
      </c>
      <c r="L20" s="47"/>
      <c r="M20" s="47"/>
      <c r="N20" s="45"/>
      <c r="O20" s="45"/>
      <c r="P20" s="45"/>
      <c r="Q20" s="45"/>
    </row>
    <row r="21" spans="1:32" ht="12.75" x14ac:dyDescent="0.2">
      <c r="J21" s="48" t="s">
        <v>49</v>
      </c>
      <c r="K21" s="49">
        <v>0</v>
      </c>
      <c r="L21" s="8"/>
      <c r="M21" s="7"/>
    </row>
    <row r="22" spans="1:32" ht="12.75" x14ac:dyDescent="0.2">
      <c r="J22" s="48" t="s">
        <v>50</v>
      </c>
      <c r="K22" s="49">
        <f>H6+H7</f>
        <v>580</v>
      </c>
      <c r="L22" s="8"/>
      <c r="M22" s="7"/>
    </row>
    <row r="23" spans="1:32" ht="12.75" x14ac:dyDescent="0.2">
      <c r="A23" s="1"/>
      <c r="B23" s="1"/>
      <c r="D23" s="1"/>
      <c r="E23" s="1"/>
      <c r="F23" s="1"/>
      <c r="H23" s="1"/>
      <c r="I23" s="1"/>
      <c r="J23" s="51" t="s">
        <v>51</v>
      </c>
      <c r="K23" s="52">
        <f>SUM(K19:K22)</f>
        <v>1988.65</v>
      </c>
      <c r="L23" s="8"/>
      <c r="M23" s="7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Z23" s="1"/>
      <c r="AA23" s="1"/>
      <c r="AB23" s="1"/>
      <c r="AC23" s="1"/>
      <c r="AD23" s="1"/>
      <c r="AE23" s="1"/>
      <c r="AF23" s="1"/>
    </row>
    <row r="24" spans="1:32" ht="12" x14ac:dyDescent="0.2">
      <c r="J24" s="45" t="s">
        <v>144</v>
      </c>
      <c r="K24" s="45">
        <v>2000</v>
      </c>
    </row>
    <row r="25" spans="1:32" ht="12" x14ac:dyDescent="0.2">
      <c r="H25" s="59"/>
      <c r="I25" s="59"/>
      <c r="J25" s="59" t="s">
        <v>42</v>
      </c>
      <c r="K25" s="59">
        <f>K24-K23</f>
        <v>11.349999999999909</v>
      </c>
      <c r="L25" s="71"/>
      <c r="M25" s="72"/>
    </row>
    <row r="26" spans="1:32" ht="12" x14ac:dyDescent="0.2">
      <c r="H26" s="59"/>
      <c r="I26" s="59"/>
      <c r="J26" s="59"/>
      <c r="K26" s="59"/>
    </row>
    <row r="27" spans="1:32" ht="12" x14ac:dyDescent="0.2">
      <c r="H27" s="59"/>
      <c r="I27" s="59"/>
      <c r="J27" s="59"/>
      <c r="K27" s="59"/>
    </row>
    <row r="28" spans="1:32" ht="12" x14ac:dyDescent="0.2">
      <c r="H28" s="59"/>
      <c r="I28" s="59"/>
      <c r="J28" s="59"/>
      <c r="K28" s="59"/>
    </row>
    <row r="29" spans="1:32" ht="12" x14ac:dyDescent="0.2">
      <c r="H29" s="59"/>
      <c r="I29" s="59"/>
      <c r="J29" s="59"/>
      <c r="K29" s="59"/>
    </row>
    <row r="30" spans="1:32" ht="12" x14ac:dyDescent="0.2">
      <c r="H30" s="59"/>
      <c r="I30" s="59"/>
      <c r="J30" s="59"/>
      <c r="K30" s="59"/>
      <c r="Q30" s="2">
        <v>0</v>
      </c>
    </row>
    <row r="31" spans="1:32" ht="12" x14ac:dyDescent="0.2">
      <c r="A31" s="1"/>
      <c r="B31" s="1"/>
      <c r="D31" s="1"/>
      <c r="E31" s="1"/>
      <c r="F31" s="1"/>
      <c r="H31" s="60"/>
      <c r="I31" s="60"/>
      <c r="J31" s="60"/>
      <c r="K31" s="60"/>
      <c r="L31" s="1"/>
      <c r="M31" s="1"/>
      <c r="N31" s="1"/>
      <c r="O31" s="1"/>
      <c r="P31" s="1"/>
      <c r="Q31" s="1"/>
      <c r="R31" s="1"/>
      <c r="S31" s="1"/>
      <c r="Z31" s="1"/>
      <c r="AA31" s="1"/>
      <c r="AB31" s="1"/>
      <c r="AC31" s="1"/>
      <c r="AD31" s="1"/>
      <c r="AE31" s="1"/>
      <c r="AF31" s="1"/>
    </row>
    <row r="32" spans="1:32" ht="12" x14ac:dyDescent="0.2">
      <c r="H32" s="59"/>
      <c r="I32" s="59"/>
      <c r="J32" s="59"/>
      <c r="K32" s="59"/>
    </row>
    <row r="33" spans="1:32" ht="12" x14ac:dyDescent="0.2">
      <c r="H33" s="59"/>
      <c r="I33" s="59"/>
      <c r="J33" s="59"/>
      <c r="K33" s="59"/>
    </row>
    <row r="34" spans="1:32" ht="12" x14ac:dyDescent="0.2">
      <c r="H34" s="59"/>
      <c r="I34" s="59"/>
      <c r="J34" s="59"/>
      <c r="K34" s="59"/>
    </row>
    <row r="35" spans="1:32" ht="12" x14ac:dyDescent="0.2">
      <c r="H35" s="59"/>
      <c r="I35" s="59"/>
      <c r="J35" s="59"/>
      <c r="K35" s="59"/>
    </row>
    <row r="36" spans="1:32" x14ac:dyDescent="0.2">
      <c r="H36" s="61"/>
      <c r="I36" s="61"/>
      <c r="J36" s="61"/>
      <c r="K36" s="61"/>
    </row>
    <row r="37" spans="1:32" x14ac:dyDescent="0.2">
      <c r="H37" s="61"/>
      <c r="I37" s="61"/>
      <c r="J37" s="61"/>
      <c r="K37" s="61"/>
    </row>
    <row r="38" spans="1:32" x14ac:dyDescent="0.2">
      <c r="A38" s="1"/>
      <c r="B38" s="1"/>
      <c r="D38" s="1"/>
      <c r="E38" s="1"/>
      <c r="F38" s="1"/>
      <c r="H38" s="61"/>
      <c r="I38" s="61"/>
      <c r="J38" s="61"/>
      <c r="K38" s="6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">
      <c r="A39" s="1"/>
      <c r="B39" s="1"/>
      <c r="D39" s="1"/>
      <c r="E39" s="1"/>
      <c r="F39" s="1"/>
      <c r="H39" s="61"/>
      <c r="I39" s="61"/>
      <c r="J39" s="61"/>
      <c r="K39" s="6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">
      <c r="A40" s="1"/>
      <c r="B40" s="1"/>
      <c r="D40" s="1"/>
      <c r="E40" s="1"/>
      <c r="F40" s="1"/>
      <c r="H40" s="61"/>
      <c r="I40" s="61"/>
      <c r="J40" s="61"/>
      <c r="K40" s="6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</sheetData>
  <mergeCells count="1">
    <mergeCell ref="A14:XFD14"/>
  </mergeCells>
  <pageMargins left="0.7" right="0.7" top="0.75" bottom="0.75" header="0.3" footer="0.3"/>
  <pageSetup paperSize="5" scale="90" orientation="landscape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tabSelected="1" workbookViewId="0">
      <selection activeCell="N17" sqref="N17"/>
    </sheetView>
  </sheetViews>
  <sheetFormatPr defaultRowHeight="11.25" x14ac:dyDescent="0.2"/>
  <cols>
    <col min="1" max="1" width="8.140625" style="80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11.140625" style="2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8.5703125" style="2" customWidth="1"/>
    <col min="15" max="15" width="9" style="2" hidden="1" customWidth="1"/>
    <col min="16" max="16" width="9.85546875" style="2" customWidth="1"/>
    <col min="17" max="17" width="10.85546875" style="2" hidden="1" customWidth="1"/>
    <col min="18" max="18" width="10.7109375" style="2" customWidth="1"/>
    <col min="19" max="19" width="9.5703125" style="2" customWidth="1"/>
    <col min="20" max="20" width="9.140625" style="2" customWidth="1"/>
    <col min="21" max="21" width="9.140625" style="2" hidden="1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hidden="1" customWidth="1"/>
    <col min="26" max="26" width="8.28515625" style="2" hidden="1" customWidth="1"/>
    <col min="27" max="27" width="8.7109375" style="2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3" ht="12" customHeight="1" x14ac:dyDescent="0.2">
      <c r="A1" s="12" t="s">
        <v>30</v>
      </c>
      <c r="C1" s="13"/>
    </row>
    <row r="2" spans="1:33" ht="12" customHeight="1" x14ac:dyDescent="0.2">
      <c r="A2" s="12" t="s">
        <v>26</v>
      </c>
    </row>
    <row r="3" spans="1:33" ht="12" customHeight="1" x14ac:dyDescent="0.2">
      <c r="A3" s="12" t="s">
        <v>196</v>
      </c>
      <c r="B3" s="13"/>
      <c r="C3" s="14"/>
      <c r="N3" s="15">
        <v>1301</v>
      </c>
      <c r="O3" s="15">
        <v>2402</v>
      </c>
      <c r="P3" s="15">
        <v>5001</v>
      </c>
      <c r="Q3" s="15">
        <v>5002</v>
      </c>
      <c r="R3" s="15">
        <v>6220</v>
      </c>
      <c r="S3" s="15">
        <v>6219</v>
      </c>
      <c r="T3" s="15">
        <v>6212</v>
      </c>
      <c r="U3" s="15"/>
      <c r="V3" s="15"/>
      <c r="W3" s="15"/>
      <c r="X3" s="15"/>
      <c r="Y3" s="15" t="s">
        <v>25</v>
      </c>
      <c r="Z3" s="15"/>
      <c r="AA3" s="15">
        <v>6230</v>
      </c>
      <c r="AB3" s="15" t="s">
        <v>24</v>
      </c>
      <c r="AC3" s="15">
        <v>6202</v>
      </c>
      <c r="AD3" s="15"/>
      <c r="AE3" s="15">
        <v>6109</v>
      </c>
      <c r="AF3" s="15">
        <v>1002</v>
      </c>
    </row>
    <row r="4" spans="1:33" s="10" customFormat="1" ht="44.25" customHeight="1" x14ac:dyDescent="0.25">
      <c r="A4" s="16" t="s">
        <v>23</v>
      </c>
      <c r="B4" s="17" t="s">
        <v>22</v>
      </c>
      <c r="C4" s="18" t="s">
        <v>21</v>
      </c>
      <c r="D4" s="18" t="s">
        <v>20</v>
      </c>
      <c r="E4" s="18" t="s">
        <v>27</v>
      </c>
      <c r="F4" s="18" t="s">
        <v>19</v>
      </c>
      <c r="G4" s="18" t="s">
        <v>18</v>
      </c>
      <c r="H4" s="18" t="s">
        <v>17</v>
      </c>
      <c r="I4" s="18" t="s">
        <v>16</v>
      </c>
      <c r="J4" s="18" t="s">
        <v>15</v>
      </c>
      <c r="K4" s="18" t="s">
        <v>14</v>
      </c>
      <c r="L4" s="19" t="s">
        <v>13</v>
      </c>
      <c r="M4" s="18" t="s">
        <v>12</v>
      </c>
      <c r="N4" s="20" t="s">
        <v>11</v>
      </c>
      <c r="O4" s="20" t="s">
        <v>10</v>
      </c>
      <c r="P4" s="20" t="s">
        <v>9</v>
      </c>
      <c r="Q4" s="20" t="s">
        <v>8</v>
      </c>
      <c r="R4" s="20" t="s">
        <v>31</v>
      </c>
      <c r="S4" s="20" t="s">
        <v>163</v>
      </c>
      <c r="T4" s="20" t="s">
        <v>7</v>
      </c>
      <c r="U4" s="20" t="s">
        <v>28</v>
      </c>
      <c r="V4" s="20" t="s">
        <v>32</v>
      </c>
      <c r="W4" s="20" t="s">
        <v>33</v>
      </c>
      <c r="X4" s="20" t="s">
        <v>34</v>
      </c>
      <c r="Y4" s="20" t="s">
        <v>6</v>
      </c>
      <c r="Z4" s="20" t="s">
        <v>29</v>
      </c>
      <c r="AA4" s="20" t="s">
        <v>5</v>
      </c>
      <c r="AB4" s="20" t="s">
        <v>4</v>
      </c>
      <c r="AC4" s="21" t="s">
        <v>174</v>
      </c>
      <c r="AD4" s="20" t="s">
        <v>1</v>
      </c>
      <c r="AE4" s="22" t="s">
        <v>2</v>
      </c>
      <c r="AF4" s="23" t="s">
        <v>0</v>
      </c>
    </row>
    <row r="5" spans="1:33" s="10" customFormat="1" ht="19.5" customHeight="1" x14ac:dyDescent="0.2">
      <c r="A5" s="62">
        <v>44133</v>
      </c>
      <c r="B5" s="17"/>
      <c r="C5" s="24" t="s">
        <v>95</v>
      </c>
      <c r="D5" s="18"/>
      <c r="E5" s="18"/>
      <c r="F5" s="63">
        <v>47</v>
      </c>
      <c r="G5" s="63" t="s">
        <v>197</v>
      </c>
      <c r="H5" s="63"/>
      <c r="I5" s="63"/>
      <c r="J5" s="65"/>
      <c r="K5" s="65">
        <v>334.25</v>
      </c>
      <c r="L5" s="64"/>
      <c r="M5" s="26">
        <f t="shared" ref="M5:M11" si="0">SUM(H5:J5,K5/1.12)</f>
        <v>298.4375</v>
      </c>
      <c r="N5" s="26">
        <f t="shared" ref="N5:N11" si="1">K5/1.12*0.12</f>
        <v>35.8125</v>
      </c>
      <c r="O5" s="26">
        <f t="shared" ref="O5:O11" si="2">-SUM(I5:J5,K5/1.12)*L5</f>
        <v>0</v>
      </c>
      <c r="P5" s="26">
        <v>298.44</v>
      </c>
      <c r="Q5" s="33"/>
      <c r="R5" s="33"/>
      <c r="S5" s="34"/>
      <c r="T5" s="34"/>
      <c r="U5" s="34"/>
      <c r="V5" s="34"/>
      <c r="W5" s="34"/>
      <c r="X5" s="33"/>
      <c r="Y5" s="33"/>
      <c r="Z5" s="33"/>
      <c r="AA5" s="33"/>
      <c r="AB5" s="34"/>
      <c r="AC5" s="34"/>
      <c r="AD5" s="33"/>
      <c r="AE5" s="33"/>
      <c r="AF5" s="26">
        <f t="shared" ref="AF5:AF10" si="3">-SUM(N5:AE5)</f>
        <v>-334.2525</v>
      </c>
      <c r="AG5" s="27">
        <f t="shared" ref="AG5:AG12" si="4">SUM(H5:K5)+AF5+O5</f>
        <v>-2.4999999999977263E-3</v>
      </c>
    </row>
    <row r="6" spans="1:33" s="10" customFormat="1" ht="19.5" customHeight="1" x14ac:dyDescent="0.2">
      <c r="A6" s="62">
        <v>44133</v>
      </c>
      <c r="B6" s="17"/>
      <c r="C6" s="63" t="s">
        <v>198</v>
      </c>
      <c r="D6" s="18"/>
      <c r="E6" s="18"/>
      <c r="F6" s="63">
        <v>204724</v>
      </c>
      <c r="G6" s="63" t="s">
        <v>199</v>
      </c>
      <c r="H6" s="63"/>
      <c r="I6" s="63"/>
      <c r="J6" s="65"/>
      <c r="K6" s="65">
        <v>500</v>
      </c>
      <c r="L6" s="64"/>
      <c r="M6" s="26">
        <f t="shared" si="0"/>
        <v>446.42857142857139</v>
      </c>
      <c r="N6" s="26">
        <f t="shared" si="1"/>
        <v>53.571428571428562</v>
      </c>
      <c r="O6" s="26">
        <f t="shared" si="2"/>
        <v>0</v>
      </c>
      <c r="P6" s="26"/>
      <c r="Q6" s="33"/>
      <c r="R6" s="33">
        <v>446.43</v>
      </c>
      <c r="S6" s="34"/>
      <c r="T6" s="34"/>
      <c r="U6" s="34"/>
      <c r="V6" s="34"/>
      <c r="W6" s="34"/>
      <c r="X6" s="33"/>
      <c r="Y6" s="33"/>
      <c r="Z6" s="33"/>
      <c r="AA6" s="33"/>
      <c r="AB6" s="34"/>
      <c r="AC6" s="34"/>
      <c r="AD6" s="33"/>
      <c r="AE6" s="33"/>
      <c r="AF6" s="26">
        <f t="shared" si="3"/>
        <v>-500.00142857142856</v>
      </c>
      <c r="AG6" s="27">
        <f t="shared" si="4"/>
        <v>-1.4285714285620088E-3</v>
      </c>
    </row>
    <row r="7" spans="1:33" s="10" customFormat="1" ht="21" customHeight="1" x14ac:dyDescent="0.2">
      <c r="A7" s="62">
        <v>44133</v>
      </c>
      <c r="B7" s="17"/>
      <c r="C7" s="24" t="s">
        <v>47</v>
      </c>
      <c r="D7" s="18"/>
      <c r="E7" s="18"/>
      <c r="F7" s="63"/>
      <c r="G7" s="63" t="s">
        <v>126</v>
      </c>
      <c r="H7" s="65">
        <v>50</v>
      </c>
      <c r="I7" s="63"/>
      <c r="J7" s="65"/>
      <c r="K7" s="65"/>
      <c r="L7" s="64"/>
      <c r="M7" s="26">
        <f t="shared" si="0"/>
        <v>50</v>
      </c>
      <c r="N7" s="26">
        <f t="shared" si="1"/>
        <v>0</v>
      </c>
      <c r="O7" s="26">
        <f t="shared" si="2"/>
        <v>0</v>
      </c>
      <c r="P7" s="26"/>
      <c r="Q7" s="33"/>
      <c r="R7" s="33"/>
      <c r="S7" s="34"/>
      <c r="T7" s="34"/>
      <c r="U7" s="34"/>
      <c r="V7" s="34"/>
      <c r="W7" s="34"/>
      <c r="X7" s="33"/>
      <c r="Y7" s="33"/>
      <c r="Z7" s="33"/>
      <c r="AA7" s="33">
        <v>50</v>
      </c>
      <c r="AB7" s="34"/>
      <c r="AC7" s="34"/>
      <c r="AD7" s="33"/>
      <c r="AE7" s="33"/>
      <c r="AF7" s="26">
        <f t="shared" si="3"/>
        <v>-50</v>
      </c>
      <c r="AG7" s="27">
        <f t="shared" si="4"/>
        <v>0</v>
      </c>
    </row>
    <row r="8" spans="1:33" s="10" customFormat="1" ht="18" customHeight="1" x14ac:dyDescent="0.2">
      <c r="A8" s="62">
        <v>44133</v>
      </c>
      <c r="B8" s="17"/>
      <c r="C8" s="24" t="s">
        <v>200</v>
      </c>
      <c r="D8" s="18"/>
      <c r="E8" s="18"/>
      <c r="F8" s="63">
        <v>2834184</v>
      </c>
      <c r="G8" s="63" t="s">
        <v>202</v>
      </c>
      <c r="H8" s="65"/>
      <c r="I8" s="18"/>
      <c r="J8" s="18"/>
      <c r="K8" s="65">
        <v>85</v>
      </c>
      <c r="L8" s="19"/>
      <c r="M8" s="26">
        <f t="shared" si="0"/>
        <v>75.892857142857139</v>
      </c>
      <c r="N8" s="26">
        <f t="shared" si="1"/>
        <v>9.1071428571428559</v>
      </c>
      <c r="O8" s="26">
        <f t="shared" si="2"/>
        <v>0</v>
      </c>
      <c r="P8" s="26"/>
      <c r="Q8" s="33"/>
      <c r="R8" s="33"/>
      <c r="S8" s="34">
        <v>75.89</v>
      </c>
      <c r="T8" s="34"/>
      <c r="U8" s="34"/>
      <c r="V8" s="34"/>
      <c r="W8" s="34"/>
      <c r="X8" s="33"/>
      <c r="Y8" s="33"/>
      <c r="Z8" s="33"/>
      <c r="AA8" s="33"/>
      <c r="AB8" s="34"/>
      <c r="AC8" s="34"/>
      <c r="AD8" s="33"/>
      <c r="AE8" s="33"/>
      <c r="AF8" s="26">
        <f t="shared" si="3"/>
        <v>-84.997142857142862</v>
      </c>
      <c r="AG8" s="27">
        <f t="shared" si="4"/>
        <v>2.8571428571382285E-3</v>
      </c>
    </row>
    <row r="9" spans="1:33" s="10" customFormat="1" ht="21.75" customHeight="1" x14ac:dyDescent="0.2">
      <c r="A9" s="62">
        <v>44133</v>
      </c>
      <c r="B9" s="17"/>
      <c r="C9" s="24" t="s">
        <v>200</v>
      </c>
      <c r="D9" s="18"/>
      <c r="E9" s="18"/>
      <c r="F9" s="63">
        <v>2834184</v>
      </c>
      <c r="G9" s="63" t="s">
        <v>201</v>
      </c>
      <c r="H9" s="65"/>
      <c r="I9" s="63"/>
      <c r="J9" s="63"/>
      <c r="K9" s="65">
        <v>130</v>
      </c>
      <c r="L9" s="19"/>
      <c r="M9" s="26">
        <f t="shared" si="0"/>
        <v>116.07142857142856</v>
      </c>
      <c r="N9" s="26">
        <f t="shared" si="1"/>
        <v>13.928571428571425</v>
      </c>
      <c r="O9" s="26">
        <f t="shared" si="2"/>
        <v>0</v>
      </c>
      <c r="P9" s="26"/>
      <c r="Q9" s="33"/>
      <c r="R9" s="33"/>
      <c r="S9" s="78"/>
      <c r="T9" s="34">
        <v>116.07</v>
      </c>
      <c r="U9" s="34"/>
      <c r="V9" s="34"/>
      <c r="W9" s="34"/>
      <c r="X9" s="33"/>
      <c r="Y9" s="33"/>
      <c r="Z9" s="33"/>
      <c r="AA9" s="33"/>
      <c r="AB9" s="34"/>
      <c r="AC9" s="34"/>
      <c r="AD9" s="33"/>
      <c r="AE9" s="33"/>
      <c r="AF9" s="26">
        <f t="shared" si="3"/>
        <v>-129.99857142857141</v>
      </c>
      <c r="AG9" s="27">
        <f t="shared" si="4"/>
        <v>1.4285714285904305E-3</v>
      </c>
    </row>
    <row r="10" spans="1:33" s="10" customFormat="1" ht="25.5" customHeight="1" x14ac:dyDescent="0.2">
      <c r="A10" s="62">
        <v>44134</v>
      </c>
      <c r="B10" s="17"/>
      <c r="C10" s="24" t="s">
        <v>95</v>
      </c>
      <c r="D10" s="63"/>
      <c r="E10" s="63"/>
      <c r="F10" s="63">
        <v>3201</v>
      </c>
      <c r="G10" s="63" t="s">
        <v>203</v>
      </c>
      <c r="H10" s="63"/>
      <c r="I10" s="63"/>
      <c r="J10" s="75"/>
      <c r="K10" s="65">
        <v>408</v>
      </c>
      <c r="L10" s="19"/>
      <c r="M10" s="26">
        <f t="shared" si="0"/>
        <v>364.28571428571428</v>
      </c>
      <c r="N10" s="26">
        <f t="shared" si="1"/>
        <v>43.714285714285708</v>
      </c>
      <c r="O10" s="26">
        <f t="shared" si="2"/>
        <v>0</v>
      </c>
      <c r="P10" s="26">
        <v>364.29</v>
      </c>
      <c r="Q10" s="33"/>
      <c r="R10" s="33"/>
      <c r="S10" s="34"/>
      <c r="T10" s="34"/>
      <c r="U10" s="34"/>
      <c r="V10" s="34"/>
      <c r="W10" s="34"/>
      <c r="X10" s="33"/>
      <c r="Y10" s="33"/>
      <c r="Z10" s="33"/>
      <c r="AA10" s="33"/>
      <c r="AB10" s="34"/>
      <c r="AC10" s="34"/>
      <c r="AD10" s="33"/>
      <c r="AE10" s="33"/>
      <c r="AF10" s="26">
        <f t="shared" si="3"/>
        <v>-408.00428571428574</v>
      </c>
      <c r="AG10" s="27">
        <f t="shared" si="4"/>
        <v>-4.2857142857428698E-3</v>
      </c>
    </row>
    <row r="11" spans="1:33" s="11" customFormat="1" ht="23.25" customHeight="1" x14ac:dyDescent="0.2">
      <c r="A11" s="29"/>
      <c r="B11" s="30"/>
      <c r="C11" s="24"/>
      <c r="D11" s="24"/>
      <c r="E11" s="24"/>
      <c r="F11" s="25"/>
      <c r="G11" s="25"/>
      <c r="H11" s="31"/>
      <c r="I11" s="31"/>
      <c r="J11" s="31"/>
      <c r="K11" s="31"/>
      <c r="L11" s="32"/>
      <c r="M11" s="26">
        <f t="shared" si="0"/>
        <v>0</v>
      </c>
      <c r="N11" s="26">
        <f t="shared" si="1"/>
        <v>0</v>
      </c>
      <c r="O11" s="26">
        <f t="shared" si="2"/>
        <v>0</v>
      </c>
      <c r="P11" s="26"/>
      <c r="Q11" s="33"/>
      <c r="R11" s="33"/>
      <c r="S11" s="34"/>
      <c r="T11" s="34"/>
      <c r="U11" s="34"/>
      <c r="V11" s="34"/>
      <c r="W11" s="34"/>
      <c r="X11" s="33"/>
      <c r="Y11" s="33"/>
      <c r="Z11" s="33"/>
      <c r="AA11" s="33"/>
      <c r="AB11" s="34"/>
      <c r="AC11" s="34"/>
      <c r="AD11" s="33"/>
      <c r="AE11" s="33"/>
      <c r="AF11" s="26">
        <f t="shared" ref="AF11:AF12" si="5">-SUM(N11:AE11)</f>
        <v>0</v>
      </c>
      <c r="AG11" s="27">
        <f t="shared" si="4"/>
        <v>0</v>
      </c>
    </row>
    <row r="12" spans="1:33" s="11" customFormat="1" ht="12" thickBot="1" x14ac:dyDescent="0.25">
      <c r="A12" s="29"/>
      <c r="B12" s="30"/>
      <c r="C12" s="35"/>
      <c r="D12" s="35"/>
      <c r="E12" s="35"/>
      <c r="F12" s="25"/>
      <c r="G12" s="28"/>
      <c r="H12" s="31"/>
      <c r="I12" s="31"/>
      <c r="J12" s="31"/>
      <c r="K12" s="31"/>
      <c r="L12" s="32"/>
      <c r="M12" s="33">
        <f>SUM(H12:J12,K12/1.12)</f>
        <v>0</v>
      </c>
      <c r="N12" s="33">
        <f>K12/1.12*0.12</f>
        <v>0</v>
      </c>
      <c r="O12" s="33">
        <f>-SUM(I12:J12,K12/1.12)*L12</f>
        <v>0</v>
      </c>
      <c r="P12" s="33"/>
      <c r="Q12" s="33"/>
      <c r="R12" s="33"/>
      <c r="S12" s="33"/>
      <c r="T12" s="34"/>
      <c r="U12" s="43"/>
      <c r="V12" s="34"/>
      <c r="W12" s="34"/>
      <c r="X12" s="34"/>
      <c r="Y12" s="36"/>
      <c r="Z12" s="33"/>
      <c r="AA12" s="43"/>
      <c r="AB12" s="33"/>
      <c r="AC12" s="34"/>
      <c r="AD12" s="34"/>
      <c r="AE12" s="37"/>
      <c r="AF12" s="26">
        <f t="shared" si="5"/>
        <v>0</v>
      </c>
      <c r="AG12" s="27">
        <f t="shared" si="4"/>
        <v>0</v>
      </c>
    </row>
    <row r="13" spans="1:33" s="9" customFormat="1" ht="12.75" thickTop="1" thickBot="1" x14ac:dyDescent="0.25">
      <c r="A13" s="38"/>
      <c r="B13" s="39"/>
      <c r="C13" s="40"/>
      <c r="D13" s="41"/>
      <c r="E13" s="41"/>
      <c r="F13" s="42"/>
      <c r="G13" s="40"/>
      <c r="H13" s="43">
        <f>SUM(H5:H11)</f>
        <v>50</v>
      </c>
      <c r="I13" s="43">
        <f>SUM(I11:I12)</f>
        <v>0</v>
      </c>
      <c r="J13" s="43">
        <f>SUM(J5:J11)</f>
        <v>0</v>
      </c>
      <c r="K13" s="43">
        <f>SUM(K5:K11)</f>
        <v>1457.25</v>
      </c>
      <c r="L13" s="43">
        <f>SUM(L11:L12)</f>
        <v>0</v>
      </c>
      <c r="M13" s="43">
        <f>SUM(M5:M11)</f>
        <v>1351.1160714285713</v>
      </c>
      <c r="N13" s="43">
        <f>SUM(N5:N11)</f>
        <v>156.13392857142856</v>
      </c>
      <c r="O13" s="43">
        <f>SUM(O11:O12)</f>
        <v>0</v>
      </c>
      <c r="P13" s="43">
        <f>SUM(P5:P11)</f>
        <v>662.73</v>
      </c>
      <c r="Q13" s="43">
        <f>SUM(Q5:Q11)</f>
        <v>0</v>
      </c>
      <c r="R13" s="43">
        <f>SUM(R5:R11)</f>
        <v>446.43</v>
      </c>
      <c r="S13" s="43">
        <f>SUM(S7:S12)</f>
        <v>75.89</v>
      </c>
      <c r="T13" s="43">
        <f>SUM(T7:T12)</f>
        <v>116.07</v>
      </c>
      <c r="U13" s="43">
        <f>SUM(U7:U12)</f>
        <v>0</v>
      </c>
      <c r="V13" s="43">
        <f>SUM(V11:V12)</f>
        <v>0</v>
      </c>
      <c r="W13" s="43">
        <f>SUM(W11:W12)</f>
        <v>0</v>
      </c>
      <c r="X13" s="43">
        <f>SUM(X11:X12)</f>
        <v>0</v>
      </c>
      <c r="Y13" s="43">
        <f>SUM(Y11:Y12)</f>
        <v>0</v>
      </c>
      <c r="Z13" s="43">
        <f>SUM(Z11:Z12)</f>
        <v>0</v>
      </c>
      <c r="AA13" s="43">
        <f>SUM(AA5:AA11)</f>
        <v>50</v>
      </c>
      <c r="AB13" s="43">
        <f>SUM(AB11:AB12)</f>
        <v>0</v>
      </c>
      <c r="AC13" s="43">
        <f>SUM(AC5:AC11)</f>
        <v>0</v>
      </c>
      <c r="AD13" s="43">
        <f>SUM(AD5:AD11)</f>
        <v>0</v>
      </c>
      <c r="AE13" s="43">
        <f>SUM(AE11:AE12)</f>
        <v>0</v>
      </c>
      <c r="AF13" s="43">
        <f>SUM(AF5:AF11)</f>
        <v>-1507.2539285714286</v>
      </c>
      <c r="AG13" s="43">
        <f>SUM(AG11:AG12)</f>
        <v>0</v>
      </c>
    </row>
    <row r="14" spans="1:33" s="81" customFormat="1" ht="12" thickTop="1" x14ac:dyDescent="0.2"/>
    <row r="15" spans="1:33" ht="12" x14ac:dyDescent="0.2">
      <c r="K15" s="44">
        <f>H13+J13+K13</f>
        <v>1507.25</v>
      </c>
      <c r="L15" s="8"/>
      <c r="M15" s="7"/>
      <c r="AF15" s="45">
        <f>+AF13</f>
        <v>-1507.2539285714286</v>
      </c>
    </row>
    <row r="16" spans="1:33" ht="12" x14ac:dyDescent="0.2">
      <c r="K16" s="44"/>
      <c r="L16" s="8"/>
      <c r="M16" s="7"/>
      <c r="AF16" s="45"/>
    </row>
    <row r="17" spans="1:32" ht="12" x14ac:dyDescent="0.2">
      <c r="K17" s="44"/>
      <c r="L17" s="8"/>
      <c r="M17" s="7"/>
      <c r="AF17" s="45"/>
    </row>
    <row r="18" spans="1:32" x14ac:dyDescent="0.2">
      <c r="K18" s="7"/>
      <c r="L18" s="8"/>
      <c r="M18" s="7"/>
    </row>
    <row r="19" spans="1:32" ht="12.75" x14ac:dyDescent="0.2">
      <c r="C19" s="46" t="s">
        <v>121</v>
      </c>
      <c r="G19" s="9"/>
      <c r="J19" s="48" t="s">
        <v>48</v>
      </c>
      <c r="K19" s="50">
        <f>K5+K10</f>
        <v>742.25</v>
      </c>
      <c r="L19" s="47"/>
      <c r="M19" s="47"/>
      <c r="N19" s="45"/>
      <c r="O19" s="45"/>
      <c r="P19" s="45"/>
      <c r="Q19" s="45"/>
    </row>
    <row r="20" spans="1:32" ht="12.75" x14ac:dyDescent="0.2">
      <c r="C20" s="46"/>
      <c r="G20" s="9"/>
      <c r="J20" s="48" t="s">
        <v>53</v>
      </c>
      <c r="K20" s="50">
        <f>K8+K9</f>
        <v>215</v>
      </c>
      <c r="L20" s="47"/>
      <c r="M20" s="47"/>
      <c r="N20" s="45"/>
      <c r="O20" s="45"/>
      <c r="P20" s="45"/>
      <c r="Q20" s="45"/>
    </row>
    <row r="21" spans="1:32" ht="12.75" x14ac:dyDescent="0.2">
      <c r="J21" s="48" t="s">
        <v>49</v>
      </c>
      <c r="K21" s="49">
        <f>K6</f>
        <v>500</v>
      </c>
      <c r="L21" s="8"/>
      <c r="M21" s="7"/>
    </row>
    <row r="22" spans="1:32" ht="12.75" x14ac:dyDescent="0.2">
      <c r="J22" s="48" t="s">
        <v>50</v>
      </c>
      <c r="K22" s="49">
        <f>H7</f>
        <v>50</v>
      </c>
      <c r="L22" s="8"/>
      <c r="M22" s="7"/>
    </row>
    <row r="23" spans="1:32" ht="12.75" x14ac:dyDescent="0.2">
      <c r="A23" s="1"/>
      <c r="B23" s="1"/>
      <c r="D23" s="1"/>
      <c r="E23" s="1"/>
      <c r="F23" s="1"/>
      <c r="H23" s="1"/>
      <c r="I23" s="1"/>
      <c r="J23" s="51" t="s">
        <v>51</v>
      </c>
      <c r="K23" s="52">
        <f>SUM(K19:K22)</f>
        <v>1507.25</v>
      </c>
      <c r="L23" s="8"/>
      <c r="M23" s="7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Z23" s="1"/>
      <c r="AA23" s="1"/>
      <c r="AB23" s="1"/>
      <c r="AC23" s="1"/>
      <c r="AD23" s="1"/>
      <c r="AE23" s="1"/>
      <c r="AF23" s="1"/>
    </row>
    <row r="24" spans="1:32" ht="12" x14ac:dyDescent="0.2">
      <c r="J24" s="45" t="s">
        <v>144</v>
      </c>
      <c r="K24" s="45">
        <v>1600</v>
      </c>
    </row>
    <row r="25" spans="1:32" ht="12" x14ac:dyDescent="0.2">
      <c r="H25" s="59"/>
      <c r="I25" s="59"/>
      <c r="J25" s="59" t="s">
        <v>42</v>
      </c>
      <c r="K25" s="59">
        <f>K24-K23</f>
        <v>92.75</v>
      </c>
      <c r="L25" s="71"/>
      <c r="M25" s="72"/>
    </row>
    <row r="26" spans="1:32" ht="12" x14ac:dyDescent="0.2">
      <c r="H26" s="59"/>
      <c r="I26" s="59"/>
      <c r="J26" s="59"/>
      <c r="K26" s="59"/>
    </row>
    <row r="27" spans="1:32" ht="12" x14ac:dyDescent="0.2">
      <c r="H27" s="59"/>
      <c r="I27" s="59"/>
      <c r="J27" s="59"/>
      <c r="K27" s="59"/>
    </row>
    <row r="28" spans="1:32" ht="12" x14ac:dyDescent="0.2">
      <c r="H28" s="59"/>
      <c r="I28" s="59"/>
      <c r="J28" s="59"/>
      <c r="K28" s="59"/>
    </row>
    <row r="29" spans="1:32" ht="12" x14ac:dyDescent="0.2">
      <c r="H29" s="59"/>
      <c r="I29" s="59"/>
      <c r="J29" s="59"/>
      <c r="K29" s="59"/>
    </row>
    <row r="30" spans="1:32" ht="12" x14ac:dyDescent="0.2">
      <c r="H30" s="59"/>
      <c r="I30" s="59"/>
      <c r="J30" s="59"/>
      <c r="K30" s="59"/>
      <c r="Q30" s="2">
        <v>0</v>
      </c>
    </row>
    <row r="31" spans="1:32" ht="12" x14ac:dyDescent="0.2">
      <c r="A31" s="1"/>
      <c r="B31" s="1"/>
      <c r="D31" s="1"/>
      <c r="E31" s="1"/>
      <c r="F31" s="1"/>
      <c r="H31" s="60"/>
      <c r="I31" s="60"/>
      <c r="J31" s="60"/>
      <c r="K31" s="60"/>
      <c r="L31" s="1"/>
      <c r="M31" s="1"/>
      <c r="N31" s="1"/>
      <c r="O31" s="1"/>
      <c r="P31" s="1"/>
      <c r="Q31" s="1"/>
      <c r="R31" s="1"/>
      <c r="S31" s="1"/>
      <c r="Z31" s="1"/>
      <c r="AA31" s="1"/>
      <c r="AB31" s="1"/>
      <c r="AC31" s="1"/>
      <c r="AD31" s="1"/>
      <c r="AE31" s="1"/>
      <c r="AF31" s="1"/>
    </row>
    <row r="32" spans="1:32" ht="12" x14ac:dyDescent="0.2">
      <c r="H32" s="59"/>
      <c r="I32" s="59"/>
      <c r="J32" s="59"/>
      <c r="K32" s="59"/>
    </row>
    <row r="33" spans="1:32" ht="12" x14ac:dyDescent="0.2">
      <c r="H33" s="59"/>
      <c r="I33" s="59"/>
      <c r="J33" s="59"/>
      <c r="K33" s="59"/>
    </row>
    <row r="34" spans="1:32" ht="12" x14ac:dyDescent="0.2">
      <c r="H34" s="59"/>
      <c r="I34" s="59"/>
      <c r="J34" s="59"/>
      <c r="K34" s="59"/>
    </row>
    <row r="35" spans="1:32" ht="12" x14ac:dyDescent="0.2">
      <c r="H35" s="59"/>
      <c r="I35" s="59"/>
      <c r="J35" s="59"/>
      <c r="K35" s="59"/>
    </row>
    <row r="36" spans="1:32" x14ac:dyDescent="0.2">
      <c r="H36" s="61"/>
      <c r="I36" s="61"/>
      <c r="J36" s="61"/>
      <c r="K36" s="61"/>
    </row>
    <row r="37" spans="1:32" x14ac:dyDescent="0.2">
      <c r="H37" s="61"/>
      <c r="I37" s="61"/>
      <c r="J37" s="61"/>
      <c r="K37" s="61"/>
    </row>
    <row r="38" spans="1:32" x14ac:dyDescent="0.2">
      <c r="A38" s="1"/>
      <c r="B38" s="1"/>
      <c r="D38" s="1"/>
      <c r="E38" s="1"/>
      <c r="F38" s="1"/>
      <c r="H38" s="61"/>
      <c r="I38" s="61"/>
      <c r="J38" s="61"/>
      <c r="K38" s="6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">
      <c r="A39" s="1"/>
      <c r="B39" s="1"/>
      <c r="D39" s="1"/>
      <c r="E39" s="1"/>
      <c r="F39" s="1"/>
      <c r="H39" s="61"/>
      <c r="I39" s="61"/>
      <c r="J39" s="61"/>
      <c r="K39" s="6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">
      <c r="A40" s="1"/>
      <c r="B40" s="1"/>
      <c r="D40" s="1"/>
      <c r="E40" s="1"/>
      <c r="F40" s="1"/>
      <c r="H40" s="61"/>
      <c r="I40" s="61"/>
      <c r="J40" s="61"/>
      <c r="K40" s="6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</sheetData>
  <mergeCells count="1">
    <mergeCell ref="A14:XF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Sept 28-Oct 5</vt:lpstr>
      <vt:lpstr>Oct. 5-10</vt:lpstr>
      <vt:lpstr>Oct 12-17</vt:lpstr>
      <vt:lpstr>Oct14</vt:lpstr>
      <vt:lpstr>Oct. 15-19</vt:lpstr>
      <vt:lpstr>Oct 20-24</vt:lpstr>
      <vt:lpstr>Oct 24-29</vt:lpstr>
      <vt:lpstr>Oct 23-30</vt:lpstr>
      <vt:lpstr>Oct 29-30</vt:lpstr>
      <vt:lpstr>'Oct 12-17'!Print_Area</vt:lpstr>
      <vt:lpstr>'Oct 23-30'!Print_Area</vt:lpstr>
      <vt:lpstr>'Oct 24-29'!Print_Area</vt:lpstr>
      <vt:lpstr>'Oct14'!Print_Area</vt:lpstr>
      <vt:lpstr>'Sept 28-Oct 5'!Print_Area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Tosh</cp:lastModifiedBy>
  <cp:lastPrinted>2010-01-01T22:52:49Z</cp:lastPrinted>
  <dcterms:created xsi:type="dcterms:W3CDTF">2014-11-05T03:52:28Z</dcterms:created>
  <dcterms:modified xsi:type="dcterms:W3CDTF">2010-01-01T17:13:35Z</dcterms:modified>
</cp:coreProperties>
</file>