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O37" i="20"/>
  <c r="X11"/>
  <c r="S39"/>
  <c r="W11"/>
  <c r="K8" l="1"/>
  <c r="N50" i="79"/>
  <c r="F50"/>
  <c r="G13" i="20"/>
  <c r="H13"/>
  <c r="D9" i="79"/>
  <c r="F56"/>
  <c r="K11" i="20" l="1"/>
  <c r="K13"/>
  <c r="H27"/>
  <c r="H26"/>
  <c r="N26" i="79" l="1"/>
  <c r="N57"/>
  <c r="N22" l="1"/>
  <c r="F22"/>
  <c r="N56"/>
  <c r="F89"/>
  <c r="N89"/>
  <c r="F122"/>
  <c r="P142" l="1"/>
  <c r="H142"/>
  <c r="N82"/>
  <c r="N49"/>
  <c r="F49"/>
  <c r="N16"/>
  <c r="F16"/>
  <c r="F126" l="1"/>
  <c r="F125"/>
  <c r="F123"/>
  <c r="F121"/>
  <c r="F120"/>
  <c r="F119"/>
  <c r="F118"/>
  <c r="E110"/>
  <c r="H109" s="1"/>
  <c r="N93"/>
  <c r="N92"/>
  <c r="N90" l="1"/>
  <c r="N88"/>
  <c r="N87"/>
  <c r="N86"/>
  <c r="N85"/>
  <c r="M77"/>
  <c r="F93"/>
  <c r="F92"/>
  <c r="F90"/>
  <c r="F88"/>
  <c r="F86"/>
  <c r="F85"/>
  <c r="E77"/>
  <c r="H76" s="1"/>
  <c r="N60"/>
  <c r="N59"/>
  <c r="N55"/>
  <c r="N53"/>
  <c r="M44"/>
  <c r="F60"/>
  <c r="F59"/>
  <c r="F57"/>
  <c r="F55"/>
  <c r="F53"/>
  <c r="F52"/>
  <c r="E44"/>
  <c r="N27"/>
  <c r="N24"/>
  <c r="N23"/>
  <c r="N20"/>
  <c r="M11"/>
  <c r="F27"/>
  <c r="F26"/>
  <c r="F24"/>
  <c r="F23"/>
  <c r="F20"/>
  <c r="G7" i="20" l="1"/>
  <c r="D108" i="79"/>
  <c r="L75"/>
  <c r="D75"/>
  <c r="D42"/>
  <c r="L9"/>
  <c r="K7" i="20"/>
  <c r="H7" s="1"/>
  <c r="E11" i="79"/>
  <c r="F14" l="1"/>
  <c r="H10" i="20"/>
  <c r="N10"/>
  <c r="O10"/>
  <c r="P10" s="1"/>
  <c r="T10"/>
  <c r="V10"/>
  <c r="H25"/>
  <c r="H9"/>
  <c r="F47" i="79" s="1"/>
  <c r="N9" i="20"/>
  <c r="O9"/>
  <c r="S9"/>
  <c r="H23"/>
  <c r="N25" i="79" s="1"/>
  <c r="V8" i="20"/>
  <c r="N17" i="79" s="1"/>
  <c r="L8" i="20"/>
  <c r="O8"/>
  <c r="T8"/>
  <c r="K38" i="5" s="1"/>
  <c r="F23" i="20"/>
  <c r="N13"/>
  <c r="O13"/>
  <c r="H109" i="21"/>
  <c r="F113" i="79"/>
  <c r="V13" i="20"/>
  <c r="F116" i="79" s="1"/>
  <c r="H28" i="20"/>
  <c r="F124" i="79" s="1"/>
  <c r="N12" i="20"/>
  <c r="O12"/>
  <c r="G12"/>
  <c r="P76" i="21" s="1"/>
  <c r="H12" i="20"/>
  <c r="N80" i="79" s="1"/>
  <c r="V12" i="20"/>
  <c r="N83" i="79" s="1"/>
  <c r="N91"/>
  <c r="H11" i="20"/>
  <c r="N11"/>
  <c r="O11"/>
  <c r="T11"/>
  <c r="G11"/>
  <c r="H76" i="21" s="1"/>
  <c r="V11" i="20"/>
  <c r="F83" i="79" s="1"/>
  <c r="F91"/>
  <c r="M7" i="20"/>
  <c r="N7"/>
  <c r="O7"/>
  <c r="S7"/>
  <c r="T7" s="1"/>
  <c r="K37" i="5" s="1"/>
  <c r="V7" i="20"/>
  <c r="F22"/>
  <c r="N145" i="79"/>
  <c r="N148"/>
  <c r="N149"/>
  <c r="N154"/>
  <c r="N157"/>
  <c r="N159"/>
  <c r="F145"/>
  <c r="F147"/>
  <c r="F148"/>
  <c r="F149"/>
  <c r="F151"/>
  <c r="F153"/>
  <c r="F154"/>
  <c r="F156"/>
  <c r="F157"/>
  <c r="J135"/>
  <c r="B135"/>
  <c r="P109"/>
  <c r="N112"/>
  <c r="N113"/>
  <c r="N114"/>
  <c r="N115"/>
  <c r="N116"/>
  <c r="N118"/>
  <c r="N119"/>
  <c r="N120"/>
  <c r="N121"/>
  <c r="N122"/>
  <c r="N123"/>
  <c r="N124"/>
  <c r="N125"/>
  <c r="N126"/>
  <c r="M110"/>
  <c r="L108"/>
  <c r="L107"/>
  <c r="L106"/>
  <c r="D106"/>
  <c r="J102"/>
  <c r="B102"/>
  <c r="J101"/>
  <c r="B101"/>
  <c r="P76"/>
  <c r="L73"/>
  <c r="D73"/>
  <c r="J69"/>
  <c r="B69"/>
  <c r="J68"/>
  <c r="B68"/>
  <c r="N48"/>
  <c r="F48"/>
  <c r="H43"/>
  <c r="D41"/>
  <c r="L40"/>
  <c r="D40"/>
  <c r="J36"/>
  <c r="B36"/>
  <c r="J35"/>
  <c r="B35"/>
  <c r="N15"/>
  <c r="F13"/>
  <c r="F15"/>
  <c r="L7"/>
  <c r="D7"/>
  <c r="J3"/>
  <c r="B3"/>
  <c r="J2"/>
  <c r="B2"/>
  <c r="H20" i="78"/>
  <c r="C20"/>
  <c r="H18"/>
  <c r="H10"/>
  <c r="C10"/>
  <c r="H8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/>
  <c r="Q20"/>
  <c r="H19"/>
  <c r="H20"/>
  <c r="H18"/>
  <c r="H21"/>
  <c r="H22"/>
  <c r="H23"/>
  <c r="H24"/>
  <c r="H25"/>
  <c r="H26"/>
  <c r="H27"/>
  <c r="O34"/>
  <c r="O36" s="1"/>
  <c r="O37"/>
  <c r="O38"/>
  <c r="O39"/>
  <c r="G34"/>
  <c r="G36" s="1"/>
  <c r="J25" i="63"/>
  <c r="J21" i="5" s="1"/>
  <c r="J22" i="63"/>
  <c r="J18" i="5" s="1"/>
  <c r="J23" i="63"/>
  <c r="J19" i="5" s="1"/>
  <c r="M21"/>
  <c r="N21" s="1"/>
  <c r="M18"/>
  <c r="N18" s="1"/>
  <c r="M19"/>
  <c r="N19" s="1"/>
  <c r="O21"/>
  <c r="P21" s="1"/>
  <c r="O18"/>
  <c r="O19"/>
  <c r="H37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s="1"/>
  <c r="L29" i="63"/>
  <c r="M25" i="5" s="1"/>
  <c r="N25" s="1"/>
  <c r="L30" i="63"/>
  <c r="M26" i="5" s="1"/>
  <c r="N26" s="1"/>
  <c r="L31" i="63"/>
  <c r="M27" i="5" s="1"/>
  <c r="N27" s="1"/>
  <c r="M20"/>
  <c r="N20" s="1"/>
  <c r="M22"/>
  <c r="N22" s="1"/>
  <c r="O20"/>
  <c r="P20" s="1"/>
  <c r="O22"/>
  <c r="O23"/>
  <c r="P23" s="1"/>
  <c r="O24"/>
  <c r="P24" s="1"/>
  <c r="O25"/>
  <c r="P25" s="1"/>
  <c r="O26"/>
  <c r="O27"/>
  <c r="P27" s="1"/>
  <c r="M34"/>
  <c r="M36" s="1"/>
  <c r="B37"/>
  <c r="C41"/>
  <c r="C36"/>
  <c r="D41"/>
  <c r="D36"/>
  <c r="E41"/>
  <c r="E36"/>
  <c r="F41"/>
  <c r="F36"/>
  <c r="M37"/>
  <c r="M38"/>
  <c r="M39"/>
  <c r="G37"/>
  <c r="G38"/>
  <c r="G39"/>
  <c r="A39"/>
  <c r="A38"/>
  <c r="A37"/>
  <c r="A34"/>
  <c r="P18"/>
  <c r="P19"/>
  <c r="P22"/>
  <c r="P26"/>
  <c r="K18"/>
  <c r="K19"/>
  <c r="K20"/>
  <c r="K21"/>
  <c r="K22"/>
  <c r="K23"/>
  <c r="K24"/>
  <c r="K25"/>
  <c r="K26"/>
  <c r="K27"/>
  <c r="L18"/>
  <c r="L19"/>
  <c r="L20"/>
  <c r="L21"/>
  <c r="L22"/>
  <c r="L23"/>
  <c r="L24"/>
  <c r="L25"/>
  <c r="L26"/>
  <c r="L27"/>
  <c r="U18"/>
  <c r="U21"/>
  <c r="U19"/>
  <c r="U20"/>
  <c r="U22"/>
  <c r="U23"/>
  <c r="U24"/>
  <c r="U25"/>
  <c r="U26"/>
  <c r="U27"/>
  <c r="T18"/>
  <c r="T19"/>
  <c r="T20"/>
  <c r="T21"/>
  <c r="T22"/>
  <c r="T23"/>
  <c r="T24"/>
  <c r="T25"/>
  <c r="T26"/>
  <c r="T27"/>
  <c r="S18"/>
  <c r="S19"/>
  <c r="S20"/>
  <c r="S21"/>
  <c r="S22"/>
  <c r="S23"/>
  <c r="S24"/>
  <c r="S25"/>
  <c r="S26"/>
  <c r="S27"/>
  <c r="R18"/>
  <c r="R19"/>
  <c r="R20"/>
  <c r="R21"/>
  <c r="R22"/>
  <c r="R23"/>
  <c r="R24"/>
  <c r="R25"/>
  <c r="R26"/>
  <c r="R27"/>
  <c r="A27"/>
  <c r="A26"/>
  <c r="A25"/>
  <c r="A24"/>
  <c r="A23"/>
  <c r="A22"/>
  <c r="B10" i="63"/>
  <c r="A21" i="5" s="1"/>
  <c r="B9" i="63"/>
  <c r="A20" i="5" s="1"/>
  <c r="A19"/>
  <c r="B7" i="63"/>
  <c r="A18" i="5" s="1"/>
  <c r="A15"/>
  <c r="A14"/>
  <c r="D2" i="63"/>
  <c r="A11" i="5" s="1"/>
  <c r="P142" i="64"/>
  <c r="N145"/>
  <c r="N146"/>
  <c r="N147"/>
  <c r="N148"/>
  <c r="N149"/>
  <c r="N151"/>
  <c r="N152"/>
  <c r="N153"/>
  <c r="N154"/>
  <c r="N155"/>
  <c r="N156"/>
  <c r="N157"/>
  <c r="N158"/>
  <c r="N159"/>
  <c r="F152"/>
  <c r="F155"/>
  <c r="F156"/>
  <c r="F157"/>
  <c r="F158"/>
  <c r="F159"/>
  <c r="H142"/>
  <c r="F145"/>
  <c r="F146"/>
  <c r="F147"/>
  <c r="F148"/>
  <c r="F149"/>
  <c r="M143"/>
  <c r="E143"/>
  <c r="L142"/>
  <c r="L141"/>
  <c r="D141"/>
  <c r="L140"/>
  <c r="D140"/>
  <c r="L139"/>
  <c r="D139"/>
  <c r="J134"/>
  <c r="B134"/>
  <c r="N120"/>
  <c r="N119"/>
  <c r="N122"/>
  <c r="N123"/>
  <c r="N124"/>
  <c r="N125"/>
  <c r="N126"/>
  <c r="P109"/>
  <c r="N112"/>
  <c r="N113"/>
  <c r="N114"/>
  <c r="N115"/>
  <c r="N116"/>
  <c r="F119"/>
  <c r="F122"/>
  <c r="F123"/>
  <c r="F124"/>
  <c r="F125"/>
  <c r="F126"/>
  <c r="H109"/>
  <c r="F112"/>
  <c r="F113"/>
  <c r="F114"/>
  <c r="F115"/>
  <c r="F116"/>
  <c r="M110"/>
  <c r="E110"/>
  <c r="L108"/>
  <c r="D108"/>
  <c r="L107"/>
  <c r="D107"/>
  <c r="L106"/>
  <c r="D106"/>
  <c r="J101"/>
  <c r="B101"/>
  <c r="N88"/>
  <c r="N86"/>
  <c r="N89"/>
  <c r="N90"/>
  <c r="N91"/>
  <c r="N92"/>
  <c r="N93"/>
  <c r="P76"/>
  <c r="N79"/>
  <c r="N80"/>
  <c r="N81"/>
  <c r="N82"/>
  <c r="N83"/>
  <c r="F86"/>
  <c r="F87"/>
  <c r="F89"/>
  <c r="F90"/>
  <c r="F91"/>
  <c r="F92"/>
  <c r="F93"/>
  <c r="H76"/>
  <c r="F79"/>
  <c r="F80"/>
  <c r="F81"/>
  <c r="F82"/>
  <c r="F83"/>
  <c r="M77"/>
  <c r="E77"/>
  <c r="L75"/>
  <c r="D75"/>
  <c r="L74"/>
  <c r="D74"/>
  <c r="L73"/>
  <c r="D73"/>
  <c r="J69"/>
  <c r="J68"/>
  <c r="B68"/>
  <c r="N55"/>
  <c r="N53"/>
  <c r="N54"/>
  <c r="N56"/>
  <c r="N57"/>
  <c r="N58"/>
  <c r="N59"/>
  <c r="N60"/>
  <c r="P43"/>
  <c r="N46"/>
  <c r="N47"/>
  <c r="N48"/>
  <c r="N49"/>
  <c r="N50"/>
  <c r="F53"/>
  <c r="F54"/>
  <c r="F55"/>
  <c r="F56"/>
  <c r="F57"/>
  <c r="F58"/>
  <c r="F59"/>
  <c r="F60"/>
  <c r="H43"/>
  <c r="F46"/>
  <c r="F47"/>
  <c r="F48"/>
  <c r="F49"/>
  <c r="F50"/>
  <c r="M44"/>
  <c r="E44"/>
  <c r="L42"/>
  <c r="D42"/>
  <c r="L41"/>
  <c r="D41"/>
  <c r="B24" i="63"/>
  <c r="D40" i="64" s="1"/>
  <c r="J36"/>
  <c r="J35"/>
  <c r="B35"/>
  <c r="N20"/>
  <c r="N21"/>
  <c r="N22"/>
  <c r="N23"/>
  <c r="N24"/>
  <c r="N25"/>
  <c r="N26"/>
  <c r="N27"/>
  <c r="P10"/>
  <c r="N13"/>
  <c r="N14"/>
  <c r="N15"/>
  <c r="N16"/>
  <c r="N17"/>
  <c r="F19"/>
  <c r="F20"/>
  <c r="F21"/>
  <c r="F23"/>
  <c r="F24"/>
  <c r="F25"/>
  <c r="F26"/>
  <c r="F27"/>
  <c r="H10"/>
  <c r="F13"/>
  <c r="F14"/>
  <c r="F15"/>
  <c r="F16"/>
  <c r="F17"/>
  <c r="M11"/>
  <c r="E11"/>
  <c r="L9"/>
  <c r="D9"/>
  <c r="L8"/>
  <c r="D8"/>
  <c r="L7"/>
  <c r="J3"/>
  <c r="J2"/>
  <c r="B2"/>
  <c r="I67" i="63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C10"/>
  <c r="C25" s="1"/>
  <c r="C59" s="1"/>
  <c r="M58"/>
  <c r="L58"/>
  <c r="K58"/>
  <c r="H58"/>
  <c r="C9"/>
  <c r="C24" s="1"/>
  <c r="C58" s="1"/>
  <c r="M57"/>
  <c r="L57"/>
  <c r="K57"/>
  <c r="C57"/>
  <c r="B57"/>
  <c r="M56"/>
  <c r="L56"/>
  <c r="K56"/>
  <c r="H56"/>
  <c r="C7"/>
  <c r="C22" s="1"/>
  <c r="C56" s="1"/>
  <c r="B22"/>
  <c r="B56" s="1"/>
  <c r="M44"/>
  <c r="M43"/>
  <c r="M42"/>
  <c r="M41"/>
  <c r="M40"/>
  <c r="P39"/>
  <c r="M39"/>
  <c r="P38"/>
  <c r="O38"/>
  <c r="P37"/>
  <c r="O37"/>
  <c r="D37"/>
  <c r="P36"/>
  <c r="M36"/>
  <c r="P35"/>
  <c r="O35"/>
  <c r="O33"/>
  <c r="N33"/>
  <c r="M33"/>
  <c r="K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R28"/>
  <c r="H28"/>
  <c r="F28"/>
  <c r="D28"/>
  <c r="C28"/>
  <c r="B28"/>
  <c r="R27"/>
  <c r="H27"/>
  <c r="F27"/>
  <c r="D27"/>
  <c r="C27"/>
  <c r="B27"/>
  <c r="R26"/>
  <c r="H26"/>
  <c r="F26"/>
  <c r="D26"/>
  <c r="C26"/>
  <c r="B26"/>
  <c r="R25"/>
  <c r="H25"/>
  <c r="F25"/>
  <c r="D25"/>
  <c r="R24"/>
  <c r="H24"/>
  <c r="F24"/>
  <c r="D24"/>
  <c r="R23"/>
  <c r="H23"/>
  <c r="F23"/>
  <c r="D23"/>
  <c r="C23"/>
  <c r="B23"/>
  <c r="R22"/>
  <c r="K22"/>
  <c r="H22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X9"/>
  <c r="V9"/>
  <c r="T9"/>
  <c r="R9"/>
  <c r="P9"/>
  <c r="I9"/>
  <c r="H9"/>
  <c r="G9"/>
  <c r="E9"/>
  <c r="D9"/>
  <c r="X8"/>
  <c r="V8"/>
  <c r="T8"/>
  <c r="R8"/>
  <c r="P8"/>
  <c r="H8"/>
  <c r="G8"/>
  <c r="E8"/>
  <c r="D8"/>
  <c r="X7"/>
  <c r="V7"/>
  <c r="T7"/>
  <c r="R7"/>
  <c r="P7"/>
  <c r="H7"/>
  <c r="G7"/>
  <c r="E7"/>
  <c r="D7"/>
  <c r="P142" i="21"/>
  <c r="N145"/>
  <c r="N146"/>
  <c r="N147"/>
  <c r="N148"/>
  <c r="N149"/>
  <c r="N151"/>
  <c r="N152"/>
  <c r="N153"/>
  <c r="N154"/>
  <c r="N155"/>
  <c r="N156"/>
  <c r="N157"/>
  <c r="N158"/>
  <c r="N159"/>
  <c r="F151"/>
  <c r="F152"/>
  <c r="F153"/>
  <c r="F154"/>
  <c r="F155"/>
  <c r="F156"/>
  <c r="F158"/>
  <c r="F159"/>
  <c r="M143"/>
  <c r="E143"/>
  <c r="L142"/>
  <c r="L141"/>
  <c r="D141"/>
  <c r="L140"/>
  <c r="L139"/>
  <c r="D139"/>
  <c r="J135"/>
  <c r="B135"/>
  <c r="J134"/>
  <c r="B134"/>
  <c r="N118"/>
  <c r="N119"/>
  <c r="N120"/>
  <c r="N121"/>
  <c r="N122"/>
  <c r="N123"/>
  <c r="N125"/>
  <c r="N126"/>
  <c r="F116"/>
  <c r="F118"/>
  <c r="F119"/>
  <c r="F120"/>
  <c r="F121"/>
  <c r="F122"/>
  <c r="F123"/>
  <c r="F125"/>
  <c r="F126"/>
  <c r="M110"/>
  <c r="E110"/>
  <c r="L108"/>
  <c r="D108"/>
  <c r="D107"/>
  <c r="D106"/>
  <c r="J102"/>
  <c r="B102"/>
  <c r="J101"/>
  <c r="B101"/>
  <c r="N80"/>
  <c r="N85"/>
  <c r="N86"/>
  <c r="N87"/>
  <c r="N88"/>
  <c r="N89"/>
  <c r="N90"/>
  <c r="N92"/>
  <c r="N93"/>
  <c r="F82"/>
  <c r="F85"/>
  <c r="F86"/>
  <c r="F87"/>
  <c r="F88"/>
  <c r="F89"/>
  <c r="F90"/>
  <c r="F92"/>
  <c r="F93"/>
  <c r="M77"/>
  <c r="E77"/>
  <c r="L75"/>
  <c r="D75"/>
  <c r="L74"/>
  <c r="D74"/>
  <c r="L73"/>
  <c r="D73"/>
  <c r="J69"/>
  <c r="B69"/>
  <c r="J68"/>
  <c r="B68"/>
  <c r="N59"/>
  <c r="N52"/>
  <c r="N53"/>
  <c r="N54"/>
  <c r="N55"/>
  <c r="N56"/>
  <c r="N57"/>
  <c r="N60"/>
  <c r="N49"/>
  <c r="F52"/>
  <c r="F53"/>
  <c r="F54"/>
  <c r="F55"/>
  <c r="F56"/>
  <c r="F57"/>
  <c r="F59"/>
  <c r="F60"/>
  <c r="F47"/>
  <c r="M44"/>
  <c r="E44"/>
  <c r="L42"/>
  <c r="D42"/>
  <c r="L41"/>
  <c r="L40"/>
  <c r="J36"/>
  <c r="B36"/>
  <c r="J35"/>
  <c r="B35"/>
  <c r="N19"/>
  <c r="N20"/>
  <c r="N21"/>
  <c r="N22"/>
  <c r="N23"/>
  <c r="N24"/>
  <c r="N26"/>
  <c r="N27"/>
  <c r="N16"/>
  <c r="F26"/>
  <c r="F19"/>
  <c r="F20"/>
  <c r="F21"/>
  <c r="F22"/>
  <c r="F23"/>
  <c r="F24"/>
  <c r="F27"/>
  <c r="H10"/>
  <c r="F14"/>
  <c r="M11"/>
  <c r="E11"/>
  <c r="L9"/>
  <c r="D9"/>
  <c r="L8"/>
  <c r="D8"/>
  <c r="L7"/>
  <c r="D7"/>
  <c r="J3"/>
  <c r="B3"/>
  <c r="J2"/>
  <c r="B2"/>
  <c r="H67" i="20"/>
  <c r="G67"/>
  <c r="F67"/>
  <c r="E67"/>
  <c r="D67"/>
  <c r="C64"/>
  <c r="L60"/>
  <c r="K60"/>
  <c r="J60"/>
  <c r="L59"/>
  <c r="L58"/>
  <c r="K58"/>
  <c r="L57"/>
  <c r="J57"/>
  <c r="C57"/>
  <c r="L56"/>
  <c r="K59"/>
  <c r="O38"/>
  <c r="J59" s="1"/>
  <c r="P34" i="5"/>
  <c r="P36" s="1"/>
  <c r="O35" i="20"/>
  <c r="J56" s="1"/>
  <c r="O33"/>
  <c r="N33"/>
  <c r="M33"/>
  <c r="L33"/>
  <c r="K33"/>
  <c r="J33"/>
  <c r="I33"/>
  <c r="E33"/>
  <c r="C31"/>
  <c r="C65" s="1"/>
  <c r="B31"/>
  <c r="B65" s="1"/>
  <c r="H30"/>
  <c r="C30"/>
  <c r="B30"/>
  <c r="B64" s="1"/>
  <c r="C29"/>
  <c r="C63" s="1"/>
  <c r="B29"/>
  <c r="L106" i="21" s="1"/>
  <c r="F28" i="20"/>
  <c r="C28"/>
  <c r="C62" s="1"/>
  <c r="B28"/>
  <c r="B62" s="1"/>
  <c r="F27"/>
  <c r="N91" i="21" s="1"/>
  <c r="C27" i="20"/>
  <c r="C61" s="1"/>
  <c r="B27"/>
  <c r="B61" s="1"/>
  <c r="F26"/>
  <c r="C26"/>
  <c r="C60" s="1"/>
  <c r="B26"/>
  <c r="B60" s="1"/>
  <c r="F25"/>
  <c r="N39" i="5" s="1"/>
  <c r="C25" i="20"/>
  <c r="C59" s="1"/>
  <c r="B25"/>
  <c r="M38" s="1"/>
  <c r="C24"/>
  <c r="C58" s="1"/>
  <c r="B24"/>
  <c r="D40" i="21" s="1"/>
  <c r="C23" i="20"/>
  <c r="B23"/>
  <c r="B57" s="1"/>
  <c r="H22"/>
  <c r="F25" i="79" s="1"/>
  <c r="C22" i="20"/>
  <c r="C56" s="1"/>
  <c r="B22"/>
  <c r="B56" s="1"/>
  <c r="R21"/>
  <c r="I18"/>
  <c r="X17"/>
  <c r="H16"/>
  <c r="G16"/>
  <c r="E16"/>
  <c r="H31" s="1"/>
  <c r="P15"/>
  <c r="F145" i="21" s="1"/>
  <c r="H15" i="20"/>
  <c r="F146" i="21" s="1"/>
  <c r="G15" i="20"/>
  <c r="H142" i="21" s="1"/>
  <c r="E15" i="20"/>
  <c r="D140" i="21" s="1"/>
  <c r="H14" i="20"/>
  <c r="N113" i="21" s="1"/>
  <c r="G14" i="20"/>
  <c r="P109" i="21" s="1"/>
  <c r="E14" i="20"/>
  <c r="V14" s="1"/>
  <c r="N116" i="21" s="1"/>
  <c r="T13" i="20"/>
  <c r="F115" i="21" s="1"/>
  <c r="R13" i="20"/>
  <c r="F114" i="79" s="1"/>
  <c r="L13" i="20"/>
  <c r="T12"/>
  <c r="R12"/>
  <c r="N81" i="79" s="1"/>
  <c r="L12" i="20"/>
  <c r="R11"/>
  <c r="F81" i="79" s="1"/>
  <c r="R10" i="20"/>
  <c r="G10"/>
  <c r="B39" i="5" s="1"/>
  <c r="D9" i="20"/>
  <c r="G9" s="1"/>
  <c r="H43" i="21" s="1"/>
  <c r="R8" i="20"/>
  <c r="N15" i="21" s="1"/>
  <c r="G8" i="20"/>
  <c r="P10" i="21" s="1"/>
  <c r="R7" i="20"/>
  <c r="F15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T15" i="20" l="1"/>
  <c r="F148" i="21" s="1"/>
  <c r="V16" i="20"/>
  <c r="M35"/>
  <c r="J102" i="64"/>
  <c r="J135"/>
  <c r="M43" i="20"/>
  <c r="B59"/>
  <c r="R16"/>
  <c r="H29"/>
  <c r="F31"/>
  <c r="M36"/>
  <c r="D37"/>
  <c r="M39"/>
  <c r="M41"/>
  <c r="E9"/>
  <c r="P14"/>
  <c r="N112" i="21" s="1"/>
  <c r="T14" i="20"/>
  <c r="N115" i="21" s="1"/>
  <c r="R15" i="20"/>
  <c r="F147" i="21" s="1"/>
  <c r="V15" i="20"/>
  <c r="F149" i="21" s="1"/>
  <c r="P16" i="20"/>
  <c r="R31" s="1"/>
  <c r="G27" i="5" s="1"/>
  <c r="I27" s="1"/>
  <c r="T16" i="20"/>
  <c r="X16"/>
  <c r="D31" s="1"/>
  <c r="D18"/>
  <c r="F29"/>
  <c r="F30"/>
  <c r="F157" i="21" s="1"/>
  <c r="A37" i="20"/>
  <c r="M37"/>
  <c r="M40"/>
  <c r="M42"/>
  <c r="M44"/>
  <c r="B58"/>
  <c r="J58"/>
  <c r="B63"/>
  <c r="L107" i="21"/>
  <c r="B34" i="5"/>
  <c r="B36" s="1"/>
  <c r="T9" i="20"/>
  <c r="R14"/>
  <c r="N114" i="21" s="1"/>
  <c r="B58" i="63"/>
  <c r="D7" i="64"/>
  <c r="N124" i="21"/>
  <c r="J57" i="63"/>
  <c r="O57" s="1"/>
  <c r="F88" i="64"/>
  <c r="N85"/>
  <c r="F121"/>
  <c r="F154"/>
  <c r="J59" i="63"/>
  <c r="O59" s="1"/>
  <c r="N58" i="79"/>
  <c r="J62" i="63"/>
  <c r="F83" i="21"/>
  <c r="P35" i="20"/>
  <c r="X12"/>
  <c r="D27" s="1"/>
  <c r="P13"/>
  <c r="F112" i="79" s="1"/>
  <c r="H116" s="1"/>
  <c r="P8" i="20"/>
  <c r="N13" i="79" s="1"/>
  <c r="F113" i="21"/>
  <c r="F124"/>
  <c r="H126" s="1"/>
  <c r="K34" i="5"/>
  <c r="K36" s="1"/>
  <c r="F49" i="21"/>
  <c r="N46"/>
  <c r="I39" i="5"/>
  <c r="O29"/>
  <c r="H8" i="20"/>
  <c r="N14" i="79" s="1"/>
  <c r="P9" i="20"/>
  <c r="N83" i="21"/>
  <c r="J64" i="63"/>
  <c r="J60"/>
  <c r="O60" s="1"/>
  <c r="J58"/>
  <c r="O58" s="1"/>
  <c r="J56"/>
  <c r="O56" s="1"/>
  <c r="P25"/>
  <c r="S38" s="1"/>
  <c r="N25" i="21"/>
  <c r="P27" s="1"/>
  <c r="P39" i="5"/>
  <c r="X13" i="20"/>
  <c r="D28" s="1"/>
  <c r="P28" s="1"/>
  <c r="N47" i="79"/>
  <c r="X10" i="20"/>
  <c r="D25" s="1"/>
  <c r="P25" s="1"/>
  <c r="O41" i="5"/>
  <c r="O44" s="1"/>
  <c r="M35" i="63"/>
  <c r="B3" i="64"/>
  <c r="B36"/>
  <c r="B69"/>
  <c r="B102"/>
  <c r="B135"/>
  <c r="E44" i="5"/>
  <c r="C44"/>
  <c r="P60" i="79"/>
  <c r="N50" i="21"/>
  <c r="J33" i="63"/>
  <c r="L33"/>
  <c r="J65"/>
  <c r="J63"/>
  <c r="J61"/>
  <c r="O61" s="1"/>
  <c r="P22"/>
  <c r="F22" i="64"/>
  <c r="H27" s="1"/>
  <c r="H28" s="1"/>
  <c r="P27" i="63"/>
  <c r="S40" s="1"/>
  <c r="F118" i="64"/>
  <c r="F151"/>
  <c r="L39" i="5"/>
  <c r="R30" i="20"/>
  <c r="G26" i="5" s="1"/>
  <c r="I26" s="1"/>
  <c r="X15" i="20"/>
  <c r="D30" s="1"/>
  <c r="P29" i="5"/>
  <c r="R29"/>
  <c r="N52" i="64"/>
  <c r="P60" s="1"/>
  <c r="P28" i="63"/>
  <c r="F120" i="64"/>
  <c r="F112" i="21"/>
  <c r="L37" i="5"/>
  <c r="F17" i="79"/>
  <c r="H17" s="1"/>
  <c r="N79" i="21"/>
  <c r="I38" i="5"/>
  <c r="F80" i="21"/>
  <c r="F80" i="79"/>
  <c r="H39" i="5"/>
  <c r="N47" i="21"/>
  <c r="H149"/>
  <c r="H17" i="64"/>
  <c r="H50"/>
  <c r="H83"/>
  <c r="H116"/>
  <c r="T29" i="5"/>
  <c r="R26" i="20"/>
  <c r="G22" i="5" s="1"/>
  <c r="I22" s="1"/>
  <c r="H159" i="21"/>
  <c r="P17" i="64"/>
  <c r="P50"/>
  <c r="P83"/>
  <c r="P116"/>
  <c r="F44" i="5"/>
  <c r="P7" i="20"/>
  <c r="F13" i="21" s="1"/>
  <c r="P149" i="79"/>
  <c r="P93" i="21"/>
  <c r="X14" i="20"/>
  <c r="D29" s="1"/>
  <c r="P29" s="1"/>
  <c r="R29"/>
  <c r="G25" i="5" s="1"/>
  <c r="I25" s="1"/>
  <c r="P126" i="21"/>
  <c r="P159"/>
  <c r="H149" i="64"/>
  <c r="P159"/>
  <c r="U29" i="5"/>
  <c r="G41"/>
  <c r="D44"/>
  <c r="H29"/>
  <c r="P116" i="21"/>
  <c r="P149"/>
  <c r="P160" s="1"/>
  <c r="P149" i="64"/>
  <c r="S29" i="5"/>
  <c r="O31"/>
  <c r="T18" i="20"/>
  <c r="F16" i="21"/>
  <c r="N13"/>
  <c r="M37" i="63"/>
  <c r="B25"/>
  <c r="L40" i="64"/>
  <c r="M41" i="5"/>
  <c r="M44" s="1"/>
  <c r="P36" i="20"/>
  <c r="N38" i="5"/>
  <c r="P23" i="63"/>
  <c r="N19" i="64"/>
  <c r="P27" s="1"/>
  <c r="P24" i="63"/>
  <c r="F52" i="64"/>
  <c r="H60" s="1"/>
  <c r="P26" i="63"/>
  <c r="F85" i="64"/>
  <c r="H93" s="1"/>
  <c r="H94" s="1"/>
  <c r="N87"/>
  <c r="P93" s="1"/>
  <c r="P29" i="63"/>
  <c r="N121" i="64"/>
  <c r="N118"/>
  <c r="P30" i="63"/>
  <c r="P43" i="21"/>
  <c r="G18" i="20"/>
  <c r="B38" i="5"/>
  <c r="B41" s="1"/>
  <c r="B44" s="1"/>
  <c r="N37"/>
  <c r="N82" i="21"/>
  <c r="F91"/>
  <c r="H93" s="1"/>
  <c r="N48"/>
  <c r="N58"/>
  <c r="P60" s="1"/>
  <c r="J39" i="5"/>
  <c r="R25" i="20"/>
  <c r="G21" i="5" s="1"/>
  <c r="I21" s="1"/>
  <c r="J38"/>
  <c r="F25" i="21"/>
  <c r="H27" s="1"/>
  <c r="J37" i="5"/>
  <c r="R22" i="20"/>
  <c r="G18" i="5" s="1"/>
  <c r="I18" s="1"/>
  <c r="F114" i="21"/>
  <c r="R28" i="20"/>
  <c r="G24" i="5" s="1"/>
  <c r="I24" s="1"/>
  <c r="N81" i="21"/>
  <c r="R27" i="20"/>
  <c r="G23" i="5" s="1"/>
  <c r="I23" s="1"/>
  <c r="F81" i="21"/>
  <c r="H34" i="5"/>
  <c r="H36" s="1"/>
  <c r="L38"/>
  <c r="L29"/>
  <c r="P159" i="79"/>
  <c r="P93"/>
  <c r="K29" i="5"/>
  <c r="H27" i="79"/>
  <c r="H126"/>
  <c r="P116"/>
  <c r="H149"/>
  <c r="P27"/>
  <c r="H93"/>
  <c r="P126"/>
  <c r="P127" s="1"/>
  <c r="V127" s="1"/>
  <c r="H159"/>
  <c r="K39" i="5"/>
  <c r="K41" s="1"/>
  <c r="J29"/>
  <c r="M29"/>
  <c r="N23"/>
  <c r="N29" s="1"/>
  <c r="Q29"/>
  <c r="F153" i="64"/>
  <c r="P31" i="63"/>
  <c r="H24" i="20" l="1"/>
  <c r="H33" s="1"/>
  <c r="D41" i="21"/>
  <c r="R9" i="20"/>
  <c r="V9"/>
  <c r="F24"/>
  <c r="E18"/>
  <c r="I65"/>
  <c r="P31"/>
  <c r="S44" s="1"/>
  <c r="V160" i="21" s="1"/>
  <c r="F46"/>
  <c r="F46" i="79"/>
  <c r="H61" i="64"/>
  <c r="P28"/>
  <c r="O67" i="63"/>
  <c r="H127" i="79"/>
  <c r="T127" s="1"/>
  <c r="H160" i="21"/>
  <c r="N79" i="79"/>
  <c r="P83" s="1"/>
  <c r="P94" s="1"/>
  <c r="V94" s="1"/>
  <c r="I34" i="5"/>
  <c r="I36" s="1"/>
  <c r="I62" i="20"/>
  <c r="N62" s="1"/>
  <c r="S41"/>
  <c r="H18"/>
  <c r="H126" i="64"/>
  <c r="H127" s="1"/>
  <c r="R23" i="20"/>
  <c r="G19" i="5" s="1"/>
  <c r="I19" s="1"/>
  <c r="N14" i="21"/>
  <c r="H38" i="5"/>
  <c r="H41" s="1"/>
  <c r="H44" s="1"/>
  <c r="K56" i="20"/>
  <c r="F17" i="21"/>
  <c r="H17" s="1"/>
  <c r="H28" s="1"/>
  <c r="P37" i="5"/>
  <c r="D61" i="63"/>
  <c r="X8" i="20"/>
  <c r="D23" s="1"/>
  <c r="P23" s="1"/>
  <c r="P160" i="64"/>
  <c r="P61"/>
  <c r="V61" s="1"/>
  <c r="P50" i="21"/>
  <c r="P61" s="1"/>
  <c r="P50" i="79"/>
  <c r="P61" s="1"/>
  <c r="V61" s="1"/>
  <c r="D59" i="63"/>
  <c r="I61" i="20"/>
  <c r="N61" s="1"/>
  <c r="P27"/>
  <c r="S40" s="1"/>
  <c r="I37" i="5"/>
  <c r="I41" s="1"/>
  <c r="X7" i="20"/>
  <c r="D22" s="1"/>
  <c r="P94" i="64"/>
  <c r="V94" s="1"/>
  <c r="H116" i="21"/>
  <c r="H127" s="1"/>
  <c r="P18" i="20"/>
  <c r="D26"/>
  <c r="L41" i="5"/>
  <c r="P126" i="64"/>
  <c r="P127" s="1"/>
  <c r="J67" i="63"/>
  <c r="S35"/>
  <c r="T28" i="64" s="1"/>
  <c r="D56" i="63"/>
  <c r="H159" i="64"/>
  <c r="H160" s="1"/>
  <c r="P17" i="79"/>
  <c r="P28" s="1"/>
  <c r="V28" s="1"/>
  <c r="P30" i="20"/>
  <c r="S43" s="1"/>
  <c r="I64"/>
  <c r="F79" i="21"/>
  <c r="H83" s="1"/>
  <c r="H94" s="1"/>
  <c r="F79" i="79"/>
  <c r="H83" s="1"/>
  <c r="H94" s="1"/>
  <c r="T94" s="1"/>
  <c r="S41" i="63"/>
  <c r="D62"/>
  <c r="H160" i="79"/>
  <c r="T160" s="1"/>
  <c r="P83" i="21"/>
  <c r="P94" s="1"/>
  <c r="H50" i="79"/>
  <c r="H28"/>
  <c r="T28" s="1"/>
  <c r="P127" i="21"/>
  <c r="I59" i="20"/>
  <c r="N59" s="1"/>
  <c r="P160" i="79"/>
  <c r="V160" s="1"/>
  <c r="S42" i="20"/>
  <c r="I63"/>
  <c r="S38"/>
  <c r="K57"/>
  <c r="P38" i="5"/>
  <c r="N17" i="21"/>
  <c r="A37" i="63"/>
  <c r="B59"/>
  <c r="M38"/>
  <c r="N41" i="5"/>
  <c r="S42" i="63"/>
  <c r="V127" i="64" s="1"/>
  <c r="D63" i="63"/>
  <c r="S43"/>
  <c r="D64"/>
  <c r="S39"/>
  <c r="T94" i="64" s="1"/>
  <c r="D60" i="63"/>
  <c r="S37"/>
  <c r="T61" i="64" s="1"/>
  <c r="D58" i="63"/>
  <c r="S36"/>
  <c r="V28" i="64" s="1"/>
  <c r="D57" i="63"/>
  <c r="J41" i="5"/>
  <c r="K44"/>
  <c r="K31"/>
  <c r="S44" i="63"/>
  <c r="D65"/>
  <c r="P33"/>
  <c r="P46" s="1"/>
  <c r="Q31" i="5"/>
  <c r="L54"/>
  <c r="L56" s="1"/>
  <c r="M31"/>
  <c r="R24" i="20" l="1"/>
  <c r="G20" i="5" s="1"/>
  <c r="I20" s="1"/>
  <c r="I29" s="1"/>
  <c r="M48" s="1"/>
  <c r="T160" i="64"/>
  <c r="X9" i="20"/>
  <c r="D24" s="1"/>
  <c r="D33" s="1"/>
  <c r="F58" i="79"/>
  <c r="H60" s="1"/>
  <c r="H61" s="1"/>
  <c r="T61" s="1"/>
  <c r="F58" i="21"/>
  <c r="H60" s="1"/>
  <c r="F33" i="20"/>
  <c r="N34" i="5"/>
  <c r="N36" s="1"/>
  <c r="N44" s="1"/>
  <c r="J34"/>
  <c r="F48" i="21"/>
  <c r="R18" i="20"/>
  <c r="P41" i="5"/>
  <c r="P44" s="1"/>
  <c r="V18" i="20"/>
  <c r="L34" i="5"/>
  <c r="L36" s="1"/>
  <c r="L44" s="1"/>
  <c r="F50" i="21"/>
  <c r="V160" i="64"/>
  <c r="I44" i="5"/>
  <c r="P17" i="21"/>
  <c r="P28" s="1"/>
  <c r="T160"/>
  <c r="I57" i="20"/>
  <c r="N57" s="1"/>
  <c r="V127" i="21"/>
  <c r="T127"/>
  <c r="I56" i="20"/>
  <c r="N56" s="1"/>
  <c r="P22"/>
  <c r="S35" s="1"/>
  <c r="T28" i="21" s="1"/>
  <c r="T127" i="64"/>
  <c r="P26" i="20"/>
  <c r="T94" i="21" s="1"/>
  <c r="I60" i="20"/>
  <c r="N60" s="1"/>
  <c r="D67" i="63"/>
  <c r="V94" i="21"/>
  <c r="L51" i="5"/>
  <c r="M51" s="1"/>
  <c r="N51" s="1"/>
  <c r="S36" i="20"/>
  <c r="V61" i="21"/>
  <c r="L50" i="5"/>
  <c r="L49" s="1"/>
  <c r="G29" l="1"/>
  <c r="X18" i="20"/>
  <c r="P24"/>
  <c r="S37" s="1"/>
  <c r="I58"/>
  <c r="N58" s="1"/>
  <c r="H50" i="21"/>
  <c r="H61" s="1"/>
  <c r="T61" s="1"/>
  <c r="J36" i="5"/>
  <c r="J44" s="1"/>
  <c r="Q44" s="1"/>
  <c r="L52"/>
  <c r="L48" s="1"/>
  <c r="N48" s="1"/>
  <c r="V28" i="21"/>
  <c r="M50" i="5"/>
  <c r="N50" s="1"/>
  <c r="N67" i="20"/>
  <c r="P33"/>
  <c r="P46" s="1"/>
  <c r="M49" i="5"/>
  <c r="N49" s="1"/>
  <c r="I67" i="20" l="1"/>
  <c r="M52" i="5"/>
  <c r="N52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W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hrs OT Last cut off-Dec19,2019
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VL last cut off (Dec 23,2019)
plus 1.5 OT Last cut off-Dec 16,2019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3 hrs OT Last cut off (dec 19,2019)
</t>
        </r>
      </text>
    </comment>
  </commentList>
</comments>
</file>

<file path=xl/sharedStrings.xml><?xml version="1.0" encoding="utf-8"?>
<sst xmlns="http://schemas.openxmlformats.org/spreadsheetml/2006/main" count="2091" uniqueCount="307">
  <si>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</si>
  <si>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</si>
  <si>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</si>
  <si>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</si>
  <si>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</si>
  <si>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</si>
  <si>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</si>
  <si>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</si>
  <si>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</si>
  <si>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</si>
  <si>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</si>
  <si>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</si>
  <si>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</si>
  <si>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</si>
  <si>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</si>
  <si>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</si>
  <si>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</si>
  <si>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</si>
  <si>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</si>
  <si>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</si>
  <si>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</si>
  <si>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</si>
  <si>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</si>
  <si>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</si>
  <si>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</si>
  <si>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</si>
  <si>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</si>
  <si>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</si>
  <si>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</si>
  <si>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</si>
  <si>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</si>
  <si>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</si>
  <si>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</si>
  <si>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</si>
  <si>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</si>
  <si>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</si>
  <si>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</si>
  <si>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</si>
  <si>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</si>
  <si>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</si>
  <si>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</si>
  <si>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</si>
  <si>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</si>
  <si>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</si>
  <si>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</si>
  <si>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</si>
  <si>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</si>
  <si>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</si>
  <si>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</si>
  <si>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</si>
  <si>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</si>
  <si>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</si>
  <si>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</si>
  <si>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</si>
  <si>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</si>
  <si>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</si>
  <si>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</si>
  <si>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</si>
  <si>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</si>
  <si>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</si>
  <si>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</si>
  <si>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</si>
  <si>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</si>
  <si>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</si>
  <si>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</si>
  <si>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</si>
  <si>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</si>
  <si>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</si>
  <si>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</si>
  <si>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</si>
  <si>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</si>
  <si>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</si>
  <si>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</si>
  <si>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</si>
  <si>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</si>
  <si>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</si>
  <si>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</si>
  <si>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</si>
  <si>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</si>
  <si>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</si>
  <si>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</si>
  <si>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</si>
  <si>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</si>
  <si>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</si>
  <si>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</si>
  <si>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</si>
  <si>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</si>
  <si>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</si>
  <si>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</si>
  <si>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</si>
  <si>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</si>
  <si>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</si>
  <si>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</si>
  <si>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</si>
  <si>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</si>
  <si>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</si>
  <si>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</si>
  <si>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</si>
  <si>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</si>
  <si>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</si>
  <si>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</si>
  <si>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</si>
  <si>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</si>
  <si>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</si>
  <si>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</si>
  <si>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</si>
  <si>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</si>
  <si>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</si>
  <si>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</si>
  <si>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</si>
  <si>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</si>
  <si>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</si>
  <si>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</si>
  <si>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</si>
  <si>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</si>
  <si>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</si>
  <si>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</si>
  <si>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</si>
  <si>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</si>
  <si>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</si>
  <si>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</si>
  <si>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</si>
  <si>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</si>
  <si>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</si>
  <si>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</si>
  <si>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</si>
  <si>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</si>
  <si>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</si>
  <si>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</si>
  <si>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</si>
  <si>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</si>
  <si>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</si>
  <si>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</si>
  <si>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</si>
  <si>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</si>
  <si>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</si>
  <si>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</si>
  <si>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</si>
  <si>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</si>
  <si>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</si>
  <si>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</si>
  <si>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</si>
  <si>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</si>
  <si>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</si>
  <si>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</si>
  <si>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</si>
  <si>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</si>
  <si>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</si>
  <si>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</si>
  <si>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</si>
  <si>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</si>
  <si>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</si>
  <si>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</si>
  <si>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</si>
  <si>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</si>
  <si>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</si>
  <si>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</si>
  <si>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</si>
  <si>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</si>
  <si>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</si>
  <si>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</si>
  <si>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</si>
  <si>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</si>
  <si>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</si>
  <si>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</si>
  <si>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</si>
  <si>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</si>
  <si>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</si>
  <si>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</si>
  <si>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</si>
  <si>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</si>
  <si>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</si>
  <si>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</si>
  <si>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</si>
  <si>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</si>
  <si>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</si>
  <si>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</si>
  <si>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</si>
  <si>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</si>
  <si>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</si>
  <si>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</si>
  <si>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</si>
  <si>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</si>
  <si>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</si>
  <si>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</si>
  <si>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</si>
  <si>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</si>
  <si>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</si>
  <si>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</si>
  <si>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</si>
  <si>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</si>
  <si>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</si>
  <si>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</si>
  <si>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</si>
  <si>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</si>
  <si>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</si>
  <si>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</si>
  <si>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</si>
  <si>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</si>
  <si>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</si>
  <si>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</si>
  <si>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</si>
  <si>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</si>
  <si>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</si>
  <si>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</si>
  <si>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</si>
  <si>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</si>
  <si>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</si>
  <si>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</si>
  <si>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</si>
  <si>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</si>
  <si>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</si>
  <si>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</si>
  <si>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</si>
  <si>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</si>
  <si>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</si>
  <si>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</si>
  <si>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</si>
  <si>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</si>
  <si>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</si>
  <si>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</si>
  <si>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</si>
  <si>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</si>
  <si>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</si>
  <si>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</si>
  <si>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</si>
  <si>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</si>
  <si>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</si>
  <si>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</si>
  <si>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</si>
  <si>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</si>
  <si>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</si>
  <si>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</si>
  <si>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</si>
  <si>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</si>
  <si>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</si>
  <si>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</si>
  <si>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</si>
  <si>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</si>
  <si>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</si>
  <si>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</si>
  <si>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</si>
  <si>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</si>
  <si>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</si>
  <si>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</si>
  <si>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</si>
  <si>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</si>
  <si>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</si>
  <si>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</si>
  <si>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</si>
  <si>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</si>
  <si>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</si>
  <si>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</si>
  <si>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</si>
  <si>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</si>
  <si>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</si>
  <si>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</si>
  <si>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</si>
  <si>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</si>
  <si>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</si>
  <si>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</si>
  <si>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</si>
  <si>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</si>
  <si>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</si>
  <si>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</si>
  <si>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</si>
  <si>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</si>
  <si>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</si>
  <si>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</si>
  <si>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</si>
  <si>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</si>
  <si>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</si>
  <si>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</si>
  <si>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</si>
  <si>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</si>
  <si>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</si>
  <si>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</si>
  <si>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</si>
  <si>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</si>
  <si>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</si>
  <si>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</si>
  <si>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</si>
  <si>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</si>
  <si>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</si>
  <si>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</si>
  <si>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</si>
  <si>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</si>
  <si>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</si>
  <si>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</si>
  <si>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</si>
  <si>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</si>
  <si>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</si>
  <si>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</si>
  <si>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</si>
  <si>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</si>
  <si>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</si>
  <si>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</si>
  <si>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</si>
  <si>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</si>
  <si>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</si>
  <si>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VL</t>
  </si>
  <si>
    <t>Alvin Cruz</t>
  </si>
  <si>
    <t xml:space="preserve"> LOAN</t>
  </si>
  <si>
    <t>Batibot Chair 1 of 3</t>
  </si>
  <si>
    <t>Dec 26,2019-Jan 10,2020</t>
  </si>
  <si>
    <t>ADJUSTMENT (VL &amp; OT last cut off)</t>
  </si>
  <si>
    <t>6th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</si>
</sst>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82" t="s">
        <v>152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3" t="s">
        <v>174</v>
      </c>
      <c r="G11" s="363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6" t="s">
        <v>221</v>
      </c>
      <c r="G12" s="366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6" t="s">
        <v>224</v>
      </c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3" t="s">
        <v>224</v>
      </c>
      <c r="G15" s="363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3" t="s">
        <v>173</v>
      </c>
      <c r="G19" s="363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6" t="s">
        <v>235</v>
      </c>
      <c r="G22" s="366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3" t="s">
        <v>235</v>
      </c>
      <c r="G23" s="363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6" t="s">
        <v>235</v>
      </c>
      <c r="G24" s="366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9" t="s">
        <v>91</v>
      </c>
      <c r="I27" s="380"/>
      <c r="J27" s="380"/>
      <c r="K27" s="381"/>
      <c r="L27" s="372" t="s">
        <v>90</v>
      </c>
      <c r="M27" s="368" t="s">
        <v>157</v>
      </c>
      <c r="N27" s="368" t="s">
        <v>158</v>
      </c>
      <c r="O27" s="374" t="s">
        <v>159</v>
      </c>
      <c r="P27" s="375"/>
      <c r="Q27" s="376"/>
      <c r="R27" s="368" t="s">
        <v>160</v>
      </c>
      <c r="S27" s="374" t="s">
        <v>19</v>
      </c>
      <c r="T27" s="375"/>
      <c r="U27" s="376"/>
      <c r="V27" s="368" t="s">
        <v>124</v>
      </c>
      <c r="W27" s="368" t="s">
        <v>125</v>
      </c>
      <c r="X27" s="370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3"/>
      <c r="M28" s="369"/>
      <c r="N28" s="369"/>
      <c r="O28" s="285" t="s">
        <v>167</v>
      </c>
      <c r="P28" s="285" t="s">
        <v>168</v>
      </c>
      <c r="Q28" s="316" t="s">
        <v>125</v>
      </c>
      <c r="R28" s="369"/>
      <c r="S28" s="285" t="s">
        <v>167</v>
      </c>
      <c r="T28" s="285" t="s">
        <v>168</v>
      </c>
      <c r="U28" s="316" t="s">
        <v>125</v>
      </c>
      <c r="V28" s="369"/>
      <c r="W28" s="369"/>
      <c r="X28" s="371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3" t="s">
        <v>173</v>
      </c>
      <c r="G33" s="363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6" t="s">
        <v>173</v>
      </c>
      <c r="G34" s="366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3" t="s">
        <v>224</v>
      </c>
      <c r="G37" s="363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6" t="s">
        <v>224</v>
      </c>
      <c r="G38" s="366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3" t="s">
        <v>173</v>
      </c>
      <c r="G43" s="363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6" t="s">
        <v>173</v>
      </c>
      <c r="G44" s="366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7" t="s">
        <v>238</v>
      </c>
      <c r="G47" s="367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6" t="s">
        <v>239</v>
      </c>
      <c r="G48" s="366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3" t="s">
        <v>239</v>
      </c>
      <c r="G49" s="363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6" t="s">
        <v>239</v>
      </c>
      <c r="G50" s="366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9" t="s">
        <v>91</v>
      </c>
      <c r="I53" s="380"/>
      <c r="J53" s="380"/>
      <c r="K53" s="381"/>
      <c r="L53" s="372" t="s">
        <v>90</v>
      </c>
      <c r="M53" s="368" t="s">
        <v>157</v>
      </c>
      <c r="N53" s="368" t="s">
        <v>158</v>
      </c>
      <c r="O53" s="374" t="s">
        <v>159</v>
      </c>
      <c r="P53" s="375"/>
      <c r="Q53" s="376"/>
      <c r="R53" s="368" t="s">
        <v>160</v>
      </c>
      <c r="S53" s="374" t="s">
        <v>19</v>
      </c>
      <c r="T53" s="375"/>
      <c r="U53" s="376"/>
      <c r="V53" s="368" t="s">
        <v>124</v>
      </c>
      <c r="W53" s="368" t="s">
        <v>125</v>
      </c>
      <c r="X53" s="370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3"/>
      <c r="M54" s="369"/>
      <c r="N54" s="369"/>
      <c r="O54" s="285" t="s">
        <v>167</v>
      </c>
      <c r="P54" s="285" t="s">
        <v>168</v>
      </c>
      <c r="Q54" s="316" t="s">
        <v>125</v>
      </c>
      <c r="R54" s="369"/>
      <c r="S54" s="285" t="s">
        <v>167</v>
      </c>
      <c r="T54" s="285" t="s">
        <v>168</v>
      </c>
      <c r="U54" s="316" t="s">
        <v>125</v>
      </c>
      <c r="V54" s="369"/>
      <c r="W54" s="369"/>
      <c r="X54" s="371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8" t="s">
        <v>177</v>
      </c>
      <c r="G56" s="366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3" t="s">
        <v>173</v>
      </c>
      <c r="G57" s="363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6" t="s">
        <v>224</v>
      </c>
      <c r="G60" s="366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3" t="s">
        <v>224</v>
      </c>
      <c r="G61" s="363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6" t="s">
        <v>174</v>
      </c>
      <c r="G64" s="366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3" t="s">
        <v>173</v>
      </c>
      <c r="G65" s="363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3" t="s">
        <v>165</v>
      </c>
      <c r="G67" s="363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6" t="s">
        <v>244</v>
      </c>
      <c r="G68" s="366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3" t="s">
        <v>244</v>
      </c>
      <c r="G69" s="363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6" t="s">
        <v>244</v>
      </c>
      <c r="G70" s="366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9" t="s">
        <v>91</v>
      </c>
      <c r="I73" s="380"/>
      <c r="J73" s="380"/>
      <c r="K73" s="381"/>
      <c r="L73" s="372" t="s">
        <v>90</v>
      </c>
      <c r="M73" s="368" t="s">
        <v>157</v>
      </c>
      <c r="N73" s="368" t="s">
        <v>158</v>
      </c>
      <c r="O73" s="374" t="s">
        <v>159</v>
      </c>
      <c r="P73" s="375"/>
      <c r="Q73" s="376"/>
      <c r="R73" s="368" t="s">
        <v>160</v>
      </c>
      <c r="S73" s="374" t="s">
        <v>19</v>
      </c>
      <c r="T73" s="375"/>
      <c r="U73" s="376"/>
      <c r="V73" s="368" t="s">
        <v>124</v>
      </c>
      <c r="W73" s="368" t="s">
        <v>125</v>
      </c>
      <c r="X73" s="370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3"/>
      <c r="M74" s="369"/>
      <c r="N74" s="369"/>
      <c r="O74" s="285" t="s">
        <v>167</v>
      </c>
      <c r="P74" s="285" t="s">
        <v>168</v>
      </c>
      <c r="Q74" s="316" t="s">
        <v>125</v>
      </c>
      <c r="R74" s="369"/>
      <c r="S74" s="285" t="s">
        <v>167</v>
      </c>
      <c r="T74" s="285" t="s">
        <v>168</v>
      </c>
      <c r="U74" s="316" t="s">
        <v>125</v>
      </c>
      <c r="V74" s="369"/>
      <c r="W74" s="369"/>
      <c r="X74" s="371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3" t="s">
        <v>173</v>
      </c>
      <c r="G79" s="363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6" t="s">
        <v>173</v>
      </c>
      <c r="G80" s="366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3" t="s">
        <v>224</v>
      </c>
      <c r="G83" s="363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6" t="s">
        <v>224</v>
      </c>
      <c r="G84" s="366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3"/>
      <c r="G91" s="363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3" t="s">
        <v>239</v>
      </c>
      <c r="G95" s="363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3" t="s">
        <v>239</v>
      </c>
      <c r="G96" s="363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3" t="s">
        <v>239</v>
      </c>
      <c r="G97" s="363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9" t="s">
        <v>91</v>
      </c>
      <c r="I100" s="380"/>
      <c r="J100" s="380"/>
      <c r="K100" s="381"/>
      <c r="L100" s="372" t="s">
        <v>90</v>
      </c>
      <c r="M100" s="368" t="s">
        <v>157</v>
      </c>
      <c r="N100" s="368" t="s">
        <v>158</v>
      </c>
      <c r="O100" s="374" t="s">
        <v>159</v>
      </c>
      <c r="P100" s="375"/>
      <c r="Q100" s="376"/>
      <c r="R100" s="368" t="s">
        <v>160</v>
      </c>
      <c r="S100" s="374" t="s">
        <v>19</v>
      </c>
      <c r="T100" s="375"/>
      <c r="U100" s="376"/>
      <c r="V100" s="368" t="s">
        <v>124</v>
      </c>
      <c r="W100" s="368" t="s">
        <v>125</v>
      </c>
      <c r="X100" s="370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3"/>
      <c r="M101" s="369"/>
      <c r="N101" s="369"/>
      <c r="O101" s="285" t="s">
        <v>167</v>
      </c>
      <c r="P101" s="285" t="s">
        <v>168</v>
      </c>
      <c r="Q101" s="316" t="s">
        <v>125</v>
      </c>
      <c r="R101" s="369"/>
      <c r="S101" s="285" t="s">
        <v>167</v>
      </c>
      <c r="T101" s="285" t="s">
        <v>168</v>
      </c>
      <c r="U101" s="316" t="s">
        <v>125</v>
      </c>
      <c r="V101" s="369"/>
      <c r="W101" s="369"/>
      <c r="X101" s="371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6" t="s">
        <v>173</v>
      </c>
      <c r="G105" s="366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3" t="s">
        <v>173</v>
      </c>
      <c r="G106" s="363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3" t="s">
        <v>224</v>
      </c>
      <c r="G108" s="363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6" t="s">
        <v>224</v>
      </c>
      <c r="G109" s="366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3" t="s">
        <v>173</v>
      </c>
      <c r="G112" s="363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6" t="s">
        <v>173</v>
      </c>
      <c r="G113" s="366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5" t="s">
        <v>235</v>
      </c>
      <c r="G115" s="365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3" t="s">
        <v>248</v>
      </c>
      <c r="G116" s="363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5" t="s">
        <v>235</v>
      </c>
      <c r="G117" s="365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3" t="s">
        <v>248</v>
      </c>
      <c r="G118" s="363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9" t="s">
        <v>91</v>
      </c>
      <c r="I121" s="380"/>
      <c r="J121" s="380"/>
      <c r="K121" s="381"/>
      <c r="L121" s="372" t="s">
        <v>90</v>
      </c>
      <c r="M121" s="368" t="s">
        <v>157</v>
      </c>
      <c r="N121" s="368" t="s">
        <v>158</v>
      </c>
      <c r="O121" s="374" t="s">
        <v>159</v>
      </c>
      <c r="P121" s="375"/>
      <c r="Q121" s="376"/>
      <c r="R121" s="368" t="s">
        <v>160</v>
      </c>
      <c r="S121" s="374" t="s">
        <v>19</v>
      </c>
      <c r="T121" s="375"/>
      <c r="U121" s="376"/>
      <c r="V121" s="368" t="s">
        <v>124</v>
      </c>
      <c r="W121" s="368" t="s">
        <v>125</v>
      </c>
      <c r="X121" s="370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3"/>
      <c r="M122" s="369"/>
      <c r="N122" s="369"/>
      <c r="O122" s="285" t="s">
        <v>167</v>
      </c>
      <c r="P122" s="285" t="s">
        <v>168</v>
      </c>
      <c r="Q122" s="316" t="s">
        <v>125</v>
      </c>
      <c r="R122" s="369"/>
      <c r="S122" s="285" t="s">
        <v>167</v>
      </c>
      <c r="T122" s="285" t="s">
        <v>168</v>
      </c>
      <c r="U122" s="316" t="s">
        <v>125</v>
      </c>
      <c r="V122" s="369"/>
      <c r="W122" s="369"/>
      <c r="X122" s="371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3" t="s">
        <v>173</v>
      </c>
      <c r="G129" s="363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3" t="s">
        <v>224</v>
      </c>
      <c r="G132" s="363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6" t="s">
        <v>224</v>
      </c>
      <c r="G133" s="366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6" t="s">
        <v>173</v>
      </c>
      <c r="G138" s="366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3" t="s">
        <v>173</v>
      </c>
      <c r="G139" s="363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6" t="s">
        <v>239</v>
      </c>
      <c r="G142" s="366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3" t="s">
        <v>249</v>
      </c>
      <c r="G143" s="363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6" t="s">
        <v>239</v>
      </c>
      <c r="G144" s="366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3" t="s">
        <v>249</v>
      </c>
      <c r="G145" s="363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9" t="s">
        <v>91</v>
      </c>
      <c r="I148" s="380"/>
      <c r="J148" s="380"/>
      <c r="K148" s="381"/>
      <c r="L148" s="372" t="s">
        <v>90</v>
      </c>
      <c r="M148" s="368" t="s">
        <v>157</v>
      </c>
      <c r="N148" s="368" t="s">
        <v>158</v>
      </c>
      <c r="O148" s="374" t="s">
        <v>159</v>
      </c>
      <c r="P148" s="375"/>
      <c r="Q148" s="376"/>
      <c r="R148" s="368" t="s">
        <v>160</v>
      </c>
      <c r="S148" s="374" t="s">
        <v>19</v>
      </c>
      <c r="T148" s="375"/>
      <c r="U148" s="376"/>
      <c r="V148" s="368" t="s">
        <v>124</v>
      </c>
      <c r="W148" s="368" t="s">
        <v>125</v>
      </c>
      <c r="X148" s="370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3"/>
      <c r="M149" s="369"/>
      <c r="N149" s="369"/>
      <c r="O149" s="285" t="s">
        <v>167</v>
      </c>
      <c r="P149" s="285" t="s">
        <v>168</v>
      </c>
      <c r="Q149" s="316" t="s">
        <v>125</v>
      </c>
      <c r="R149" s="369"/>
      <c r="S149" s="285" t="s">
        <v>167</v>
      </c>
      <c r="T149" s="285" t="s">
        <v>168</v>
      </c>
      <c r="U149" s="316" t="s">
        <v>125</v>
      </c>
      <c r="V149" s="369"/>
      <c r="W149" s="369"/>
      <c r="X149" s="371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6" t="s">
        <v>173</v>
      </c>
      <c r="G157" s="366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3" t="s">
        <v>224</v>
      </c>
      <c r="G160" s="363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6" t="s">
        <v>224</v>
      </c>
      <c r="G161" s="366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3" t="s">
        <v>22</v>
      </c>
      <c r="G164" s="363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6" t="s">
        <v>173</v>
      </c>
      <c r="G165" s="366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3" t="s">
        <v>173</v>
      </c>
      <c r="G166" s="363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5" t="s">
        <v>239</v>
      </c>
      <c r="G169" s="365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3" t="s">
        <v>239</v>
      </c>
      <c r="G170" s="363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5" t="s">
        <v>239</v>
      </c>
      <c r="G171" s="365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3" t="s">
        <v>239</v>
      </c>
      <c r="G172" s="363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9" t="s">
        <v>91</v>
      </c>
      <c r="I175" s="380"/>
      <c r="J175" s="380"/>
      <c r="K175" s="381"/>
      <c r="L175" s="372" t="s">
        <v>90</v>
      </c>
      <c r="M175" s="368" t="s">
        <v>157</v>
      </c>
      <c r="N175" s="368" t="s">
        <v>158</v>
      </c>
      <c r="O175" s="374" t="s">
        <v>159</v>
      </c>
      <c r="P175" s="375"/>
      <c r="Q175" s="376"/>
      <c r="R175" s="368" t="s">
        <v>160</v>
      </c>
      <c r="S175" s="374" t="s">
        <v>19</v>
      </c>
      <c r="T175" s="375"/>
      <c r="U175" s="376"/>
      <c r="V175" s="368" t="s">
        <v>124</v>
      </c>
      <c r="W175" s="368" t="s">
        <v>125</v>
      </c>
      <c r="X175" s="370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3"/>
      <c r="M176" s="369"/>
      <c r="N176" s="369"/>
      <c r="O176" s="285" t="s">
        <v>167</v>
      </c>
      <c r="P176" s="285" t="s">
        <v>168</v>
      </c>
      <c r="Q176" s="316" t="s">
        <v>125</v>
      </c>
      <c r="R176" s="369"/>
      <c r="S176" s="285" t="s">
        <v>167</v>
      </c>
      <c r="T176" s="285" t="s">
        <v>168</v>
      </c>
      <c r="U176" s="316" t="s">
        <v>125</v>
      </c>
      <c r="V176" s="369"/>
      <c r="W176" s="369"/>
      <c r="X176" s="371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6" t="s">
        <v>173</v>
      </c>
      <c r="G182" s="366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3" t="s">
        <v>224</v>
      </c>
      <c r="G185" s="363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6" t="s">
        <v>224</v>
      </c>
      <c r="G186" s="366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3" t="s">
        <v>173</v>
      </c>
      <c r="G193" s="363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7"/>
      <c r="G196" s="367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4" t="s">
        <v>251</v>
      </c>
      <c r="G197" s="365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8" t="s">
        <v>251</v>
      </c>
      <c r="G198" s="366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62" t="s">
        <v>251</v>
      </c>
      <c r="G199" s="363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8" t="s">
        <v>251</v>
      </c>
      <c r="G200" s="366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9" t="s">
        <v>91</v>
      </c>
      <c r="I203" s="380"/>
      <c r="J203" s="380"/>
      <c r="K203" s="381"/>
      <c r="L203" s="372" t="s">
        <v>90</v>
      </c>
      <c r="M203" s="368" t="s">
        <v>157</v>
      </c>
      <c r="N203" s="368" t="s">
        <v>158</v>
      </c>
      <c r="O203" s="374" t="s">
        <v>159</v>
      </c>
      <c r="P203" s="375"/>
      <c r="Q203" s="376"/>
      <c r="R203" s="368" t="s">
        <v>160</v>
      </c>
      <c r="S203" s="374" t="s">
        <v>19</v>
      </c>
      <c r="T203" s="375"/>
      <c r="U203" s="376"/>
      <c r="V203" s="368" t="s">
        <v>124</v>
      </c>
      <c r="W203" s="368" t="s">
        <v>125</v>
      </c>
      <c r="X203" s="370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3"/>
      <c r="M204" s="369"/>
      <c r="N204" s="369"/>
      <c r="O204" s="285" t="s">
        <v>167</v>
      </c>
      <c r="P204" s="285" t="s">
        <v>168</v>
      </c>
      <c r="Q204" s="316" t="s">
        <v>125</v>
      </c>
      <c r="R204" s="369"/>
      <c r="S204" s="285" t="s">
        <v>167</v>
      </c>
      <c r="T204" s="285" t="s">
        <v>168</v>
      </c>
      <c r="U204" s="316" t="s">
        <v>125</v>
      </c>
      <c r="V204" s="369"/>
      <c r="W204" s="369"/>
      <c r="X204" s="371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6" t="s">
        <v>173</v>
      </c>
      <c r="G210" s="366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3" t="s">
        <v>224</v>
      </c>
      <c r="G213" s="363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6" t="s">
        <v>224</v>
      </c>
      <c r="G214" s="366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3" t="s">
        <v>173</v>
      </c>
      <c r="G221" s="363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7"/>
      <c r="G224" s="367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4" t="s">
        <v>177</v>
      </c>
      <c r="G225" s="365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8" t="s">
        <v>177</v>
      </c>
      <c r="G226" s="366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62" t="s">
        <v>177</v>
      </c>
      <c r="G227" s="363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8" t="s">
        <v>177</v>
      </c>
      <c r="G228" s="366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9" t="s">
        <v>91</v>
      </c>
      <c r="I231" s="380"/>
      <c r="J231" s="380"/>
      <c r="K231" s="381"/>
      <c r="L231" s="372" t="s">
        <v>90</v>
      </c>
      <c r="M231" s="368" t="s">
        <v>157</v>
      </c>
      <c r="N231" s="368" t="s">
        <v>158</v>
      </c>
      <c r="O231" s="374" t="s">
        <v>159</v>
      </c>
      <c r="P231" s="375"/>
      <c r="Q231" s="376"/>
      <c r="R231" s="368" t="s">
        <v>160</v>
      </c>
      <c r="S231" s="374" t="s">
        <v>19</v>
      </c>
      <c r="T231" s="375"/>
      <c r="U231" s="376"/>
      <c r="V231" s="368" t="s">
        <v>124</v>
      </c>
      <c r="W231" s="368" t="s">
        <v>125</v>
      </c>
      <c r="X231" s="370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3"/>
      <c r="M232" s="369"/>
      <c r="N232" s="369"/>
      <c r="O232" s="285" t="s">
        <v>167</v>
      </c>
      <c r="P232" s="285" t="s">
        <v>168</v>
      </c>
      <c r="Q232" s="316" t="s">
        <v>125</v>
      </c>
      <c r="R232" s="369"/>
      <c r="S232" s="285" t="s">
        <v>167</v>
      </c>
      <c r="T232" s="285" t="s">
        <v>168</v>
      </c>
      <c r="U232" s="316" t="s">
        <v>125</v>
      </c>
      <c r="V232" s="369"/>
      <c r="W232" s="369"/>
      <c r="X232" s="371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3" t="s">
        <v>173</v>
      </c>
      <c r="G237" s="363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3" t="s">
        <v>224</v>
      </c>
      <c r="G239" s="363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6" t="s">
        <v>224</v>
      </c>
      <c r="G240" s="366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3" t="s">
        <v>165</v>
      </c>
      <c r="G241" s="363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3" t="s">
        <v>174</v>
      </c>
      <c r="G243" s="363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6" t="s">
        <v>173</v>
      </c>
      <c r="G244" s="366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7" t="s">
        <v>255</v>
      </c>
      <c r="G245" s="367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5" t="s">
        <v>255</v>
      </c>
      <c r="G246" s="365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7" t="s">
        <v>255</v>
      </c>
      <c r="G247" s="367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5" t="s">
        <v>255</v>
      </c>
      <c r="G248" s="365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7" t="s">
        <v>255</v>
      </c>
      <c r="G249" s="367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9" t="s">
        <v>91</v>
      </c>
      <c r="I252" s="380"/>
      <c r="J252" s="380"/>
      <c r="K252" s="381"/>
      <c r="L252" s="372" t="s">
        <v>90</v>
      </c>
      <c r="M252" s="368" t="s">
        <v>157</v>
      </c>
      <c r="N252" s="368" t="s">
        <v>158</v>
      </c>
      <c r="O252" s="374" t="s">
        <v>159</v>
      </c>
      <c r="P252" s="375"/>
      <c r="Q252" s="376"/>
      <c r="R252" s="368" t="s">
        <v>160</v>
      </c>
      <c r="S252" s="374" t="s">
        <v>19</v>
      </c>
      <c r="T252" s="375"/>
      <c r="U252" s="376"/>
      <c r="V252" s="368" t="s">
        <v>124</v>
      </c>
      <c r="W252" s="368" t="s">
        <v>125</v>
      </c>
      <c r="X252" s="370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3"/>
      <c r="M253" s="369"/>
      <c r="N253" s="369"/>
      <c r="O253" s="285" t="s">
        <v>167</v>
      </c>
      <c r="P253" s="285" t="s">
        <v>168</v>
      </c>
      <c r="Q253" s="316" t="s">
        <v>125</v>
      </c>
      <c r="R253" s="369"/>
      <c r="S253" s="285" t="s">
        <v>167</v>
      </c>
      <c r="T253" s="285" t="s">
        <v>168</v>
      </c>
      <c r="U253" s="316" t="s">
        <v>125</v>
      </c>
      <c r="V253" s="369"/>
      <c r="W253" s="369"/>
      <c r="X253" s="371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3" t="s">
        <v>173</v>
      </c>
      <c r="G258" s="363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6" t="s">
        <v>173</v>
      </c>
      <c r="G259" s="366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3" t="s">
        <v>224</v>
      </c>
      <c r="G262" s="363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6" t="s">
        <v>224</v>
      </c>
      <c r="G263" s="366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3" t="s">
        <v>173</v>
      </c>
      <c r="G268" s="363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6" t="s">
        <v>173</v>
      </c>
      <c r="G269" s="366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5"/>
      <c r="G272" s="365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7" t="s">
        <v>177</v>
      </c>
      <c r="G273" s="367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62" t="s">
        <v>177</v>
      </c>
      <c r="G274" s="363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8" t="s">
        <v>177</v>
      </c>
      <c r="G275" s="366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62" t="s">
        <v>177</v>
      </c>
      <c r="G276" s="363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9" t="s">
        <v>91</v>
      </c>
      <c r="I279" s="380"/>
      <c r="J279" s="380"/>
      <c r="K279" s="381"/>
      <c r="L279" s="372" t="s">
        <v>90</v>
      </c>
      <c r="M279" s="368" t="s">
        <v>157</v>
      </c>
      <c r="N279" s="368" t="s">
        <v>158</v>
      </c>
      <c r="O279" s="374" t="s">
        <v>159</v>
      </c>
      <c r="P279" s="375"/>
      <c r="Q279" s="376"/>
      <c r="R279" s="368" t="s">
        <v>160</v>
      </c>
      <c r="S279" s="374" t="s">
        <v>19</v>
      </c>
      <c r="T279" s="375"/>
      <c r="U279" s="376"/>
      <c r="V279" s="368" t="s">
        <v>124</v>
      </c>
      <c r="W279" s="368" t="s">
        <v>125</v>
      </c>
      <c r="X279" s="370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3"/>
      <c r="M280" s="369"/>
      <c r="N280" s="369"/>
      <c r="O280" s="285" t="s">
        <v>167</v>
      </c>
      <c r="P280" s="285" t="s">
        <v>168</v>
      </c>
      <c r="Q280" s="316" t="s">
        <v>125</v>
      </c>
      <c r="R280" s="369"/>
      <c r="S280" s="285" t="s">
        <v>167</v>
      </c>
      <c r="T280" s="285" t="s">
        <v>168</v>
      </c>
      <c r="U280" s="316" t="s">
        <v>125</v>
      </c>
      <c r="V280" s="369"/>
      <c r="W280" s="369"/>
      <c r="X280" s="371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6" t="s">
        <v>173</v>
      </c>
      <c r="G284" s="366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3" t="s">
        <v>173</v>
      </c>
      <c r="G285" s="363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7"/>
      <c r="G288" s="367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3" t="s">
        <v>224</v>
      </c>
      <c r="G289" s="363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6" t="s">
        <v>224</v>
      </c>
      <c r="G290" s="366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3" t="s">
        <v>173</v>
      </c>
      <c r="G297" s="363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7"/>
      <c r="G298" s="367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4" t="s">
        <v>257</v>
      </c>
      <c r="G299" s="365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4" t="s">
        <v>257</v>
      </c>
      <c r="G300" s="365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62" t="s">
        <v>257</v>
      </c>
      <c r="G301" s="363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64" t="s">
        <v>257</v>
      </c>
      <c r="G302" s="365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62" t="s">
        <v>257</v>
      </c>
      <c r="G303" s="363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82" t="s">
        <v>258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</row>
    <row r="2" spans="1:27" s="277" customFormat="1" ht="26.25">
      <c r="A2" s="382" t="s">
        <v>214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  <c r="AA2" s="382"/>
    </row>
    <row r="3" spans="1:27" s="277" customFormat="1" ht="26.25">
      <c r="A3" s="382" t="s">
        <v>215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  <c r="AA3" s="382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83" t="s">
        <v>153</v>
      </c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9" t="s">
        <v>91</v>
      </c>
      <c r="I5" s="380"/>
      <c r="J5" s="380"/>
      <c r="K5" s="381"/>
      <c r="L5" s="372" t="s">
        <v>90</v>
      </c>
      <c r="M5" s="368" t="s">
        <v>157</v>
      </c>
      <c r="N5" s="368" t="s">
        <v>158</v>
      </c>
      <c r="O5" s="374" t="s">
        <v>159</v>
      </c>
      <c r="P5" s="375"/>
      <c r="Q5" s="376"/>
      <c r="R5" s="368" t="s">
        <v>160</v>
      </c>
      <c r="S5" s="374" t="s">
        <v>19</v>
      </c>
      <c r="T5" s="375"/>
      <c r="U5" s="376"/>
      <c r="V5" s="368" t="s">
        <v>124</v>
      </c>
      <c r="W5" s="368" t="s">
        <v>125</v>
      </c>
      <c r="X5" s="370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3"/>
      <c r="M6" s="369"/>
      <c r="N6" s="369"/>
      <c r="O6" s="285" t="s">
        <v>167</v>
      </c>
      <c r="P6" s="285" t="s">
        <v>168</v>
      </c>
      <c r="Q6" s="316" t="s">
        <v>125</v>
      </c>
      <c r="R6" s="369"/>
      <c r="S6" s="285" t="s">
        <v>167</v>
      </c>
      <c r="T6" s="285" t="s">
        <v>168</v>
      </c>
      <c r="U6" s="316" t="s">
        <v>125</v>
      </c>
      <c r="V6" s="369"/>
      <c r="W6" s="369"/>
      <c r="X6" s="371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6"/>
      <c r="G14" s="366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6" t="s">
        <v>224</v>
      </c>
      <c r="G16" s="366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3" t="s">
        <v>224</v>
      </c>
      <c r="G17" s="363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6" t="s">
        <v>173</v>
      </c>
      <c r="G22" s="366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3" t="s">
        <v>235</v>
      </c>
      <c r="G25" s="363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6" t="s">
        <v>235</v>
      </c>
      <c r="G26" s="366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3" t="s">
        <v>235</v>
      </c>
      <c r="G27" s="363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9" t="s">
        <v>91</v>
      </c>
      <c r="I30" s="380"/>
      <c r="J30" s="380"/>
      <c r="K30" s="381"/>
      <c r="L30" s="372" t="s">
        <v>90</v>
      </c>
      <c r="M30" s="368" t="s">
        <v>157</v>
      </c>
      <c r="N30" s="368" t="s">
        <v>158</v>
      </c>
      <c r="O30" s="374" t="s">
        <v>159</v>
      </c>
      <c r="P30" s="375"/>
      <c r="Q30" s="376"/>
      <c r="R30" s="368" t="s">
        <v>160</v>
      </c>
      <c r="S30" s="374" t="s">
        <v>19</v>
      </c>
      <c r="T30" s="375"/>
      <c r="U30" s="376"/>
      <c r="V30" s="368" t="s">
        <v>124</v>
      </c>
      <c r="W30" s="368" t="s">
        <v>125</v>
      </c>
      <c r="X30" s="370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3"/>
      <c r="M31" s="369"/>
      <c r="N31" s="369"/>
      <c r="O31" s="285" t="s">
        <v>167</v>
      </c>
      <c r="P31" s="285" t="s">
        <v>168</v>
      </c>
      <c r="Q31" s="316" t="s">
        <v>125</v>
      </c>
      <c r="R31" s="369"/>
      <c r="S31" s="285" t="s">
        <v>167</v>
      </c>
      <c r="T31" s="285" t="s">
        <v>168</v>
      </c>
      <c r="U31" s="316" t="s">
        <v>125</v>
      </c>
      <c r="V31" s="369"/>
      <c r="W31" s="369"/>
      <c r="X31" s="371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3" t="s">
        <v>263</v>
      </c>
      <c r="G32" s="363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8" t="s">
        <v>207</v>
      </c>
      <c r="G33" s="378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3" t="s">
        <v>173</v>
      </c>
      <c r="G34" s="363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6" t="s">
        <v>173</v>
      </c>
      <c r="G35" s="366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2" t="s">
        <v>201</v>
      </c>
      <c r="G36" s="363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6" t="s">
        <v>224</v>
      </c>
      <c r="G37" s="366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6" t="s">
        <v>224</v>
      </c>
      <c r="G38" s="366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8" t="s">
        <v>201</v>
      </c>
      <c r="G39" s="366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62" t="s">
        <v>201</v>
      </c>
      <c r="G40" s="363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6" t="s">
        <v>173</v>
      </c>
      <c r="G41" s="366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3" t="s">
        <v>173</v>
      </c>
      <c r="G42" s="363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8" t="s">
        <v>201</v>
      </c>
      <c r="G43" s="366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62" t="s">
        <v>201</v>
      </c>
      <c r="G44" s="363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8" t="s">
        <v>201</v>
      </c>
      <c r="G45" s="366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62" t="s">
        <v>201</v>
      </c>
      <c r="G46" s="363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8" t="s">
        <v>201</v>
      </c>
      <c r="G47" s="366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9" t="s">
        <v>91</v>
      </c>
      <c r="I50" s="380"/>
      <c r="J50" s="380"/>
      <c r="K50" s="381"/>
      <c r="L50" s="372" t="s">
        <v>90</v>
      </c>
      <c r="M50" s="368" t="s">
        <v>157</v>
      </c>
      <c r="N50" s="368" t="s">
        <v>158</v>
      </c>
      <c r="O50" s="374" t="s">
        <v>159</v>
      </c>
      <c r="P50" s="375"/>
      <c r="Q50" s="376"/>
      <c r="R50" s="368" t="s">
        <v>160</v>
      </c>
      <c r="S50" s="374" t="s">
        <v>19</v>
      </c>
      <c r="T50" s="375"/>
      <c r="U50" s="376"/>
      <c r="V50" s="368" t="s">
        <v>124</v>
      </c>
      <c r="W50" s="368" t="s">
        <v>125</v>
      </c>
      <c r="X50" s="370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3"/>
      <c r="M51" s="369"/>
      <c r="N51" s="369"/>
      <c r="O51" s="285" t="s">
        <v>167</v>
      </c>
      <c r="P51" s="285" t="s">
        <v>168</v>
      </c>
      <c r="Q51" s="316" t="s">
        <v>125</v>
      </c>
      <c r="R51" s="369"/>
      <c r="S51" s="285" t="s">
        <v>167</v>
      </c>
      <c r="T51" s="285" t="s">
        <v>168</v>
      </c>
      <c r="U51" s="316" t="s">
        <v>125</v>
      </c>
      <c r="V51" s="369"/>
      <c r="W51" s="369"/>
      <c r="X51" s="371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2" t="s">
        <v>201</v>
      </c>
      <c r="G52" s="363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8" t="s">
        <v>201</v>
      </c>
      <c r="G53" s="378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3" t="s">
        <v>173</v>
      </c>
      <c r="G54" s="363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6" t="s">
        <v>173</v>
      </c>
      <c r="G55" s="366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2" t="s">
        <v>201</v>
      </c>
      <c r="G56" s="363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6" t="s">
        <v>224</v>
      </c>
      <c r="G57" s="366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3" t="s">
        <v>224</v>
      </c>
      <c r="G58" s="363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8" t="s">
        <v>201</v>
      </c>
      <c r="G59" s="366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2" t="s">
        <v>201</v>
      </c>
      <c r="G60" s="363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6" t="s">
        <v>173</v>
      </c>
      <c r="G61" s="366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3" t="s">
        <v>173</v>
      </c>
      <c r="G62" s="363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8" t="s">
        <v>201</v>
      </c>
      <c r="G63" s="366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62" t="s">
        <v>201</v>
      </c>
      <c r="G64" s="363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8" t="s">
        <v>201</v>
      </c>
      <c r="G65" s="366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62" t="s">
        <v>201</v>
      </c>
      <c r="G66" s="363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8" t="s">
        <v>201</v>
      </c>
      <c r="G67" s="366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pane xSplit="2" topLeftCell="C1" activePane="topRight" state="frozen"/>
      <selection pane="topRight" activeCell="N59" sqref="N59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304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/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305</v>
      </c>
      <c r="X5" s="420" t="s">
        <v>3</v>
      </c>
    </row>
    <row r="6" spans="1:26" s="138" customFormat="1" ht="27" customHeight="1" thickBot="1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11</v>
      </c>
      <c r="G7" s="132">
        <f>+D7</f>
        <v>6851</v>
      </c>
      <c r="H7" s="20">
        <f>(F7+J7+K7+L7+Q7)*10</f>
        <v>110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5</v>
      </c>
      <c r="V7" s="21">
        <f>(E7/8/10)*U7</f>
        <v>32.9375</v>
      </c>
      <c r="W7" s="133"/>
      <c r="X7" s="137">
        <f t="shared" ref="X7:X13" si="0">+G7+H7+P7+R7+T7+V7+W7+I7</f>
        <v>6993.9375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11</v>
      </c>
      <c r="G8" s="141">
        <f>+D8</f>
        <v>6851</v>
      </c>
      <c r="H8" s="20">
        <f>(F8+J8+K8+L8+Q8)*10</f>
        <v>110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1</v>
      </c>
      <c r="N8" s="73">
        <v>0</v>
      </c>
      <c r="O8" s="73">
        <f>+'10.26-11.10'!Q229</f>
        <v>0</v>
      </c>
      <c r="P8" s="233">
        <f>(((E8/8)*1.25)*M8)+((((E8/8)*N8)*200%)*130%)+((((E8/8)*130%)*130%)*O8)</f>
        <v>82.34375</v>
      </c>
      <c r="Q8" s="73"/>
      <c r="R8" s="21">
        <f>+Q8*E8</f>
        <v>0</v>
      </c>
      <c r="S8" s="73">
        <v>0</v>
      </c>
      <c r="T8" s="21">
        <f>(+S8*E8)*0.3</f>
        <v>0</v>
      </c>
      <c r="U8" s="353">
        <v>2</v>
      </c>
      <c r="V8" s="21">
        <f>(E8/8/10)*U8</f>
        <v>13.175000000000001</v>
      </c>
      <c r="W8" s="73">
        <v>164.69</v>
      </c>
      <c r="X8" s="137">
        <f>+G8+H8+P8+R8+T8+V8+W8+I8</f>
        <v>7221.2087499999998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8.5</v>
      </c>
      <c r="G9" s="141">
        <f>D9</f>
        <v>10273</v>
      </c>
      <c r="H9" s="20">
        <f t="shared" ref="H9:H14" si="1">(F9+J9+K9+L9+Q9)*10</f>
        <v>110</v>
      </c>
      <c r="I9" s="21"/>
      <c r="J9" s="73">
        <v>0</v>
      </c>
      <c r="K9" s="73">
        <v>2.5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>
        <v>3</v>
      </c>
      <c r="V9" s="21">
        <f t="shared" ref="V9:V16" si="5">(E9/8/10)*U9</f>
        <v>29.633653846153848</v>
      </c>
      <c r="W9" s="73"/>
      <c r="X9" s="137">
        <f t="shared" si="0"/>
        <v>10412.633653846155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9</v>
      </c>
      <c r="G10" s="141">
        <f t="shared" ref="G10:G16" si="6">+D10</f>
        <v>6851</v>
      </c>
      <c r="H10" s="20">
        <f t="shared" si="1"/>
        <v>100</v>
      </c>
      <c r="I10" s="21"/>
      <c r="J10" s="73">
        <v>1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1</v>
      </c>
      <c r="V10" s="21">
        <f t="shared" si="5"/>
        <v>6.5875000000000004</v>
      </c>
      <c r="W10" s="73"/>
      <c r="X10" s="137">
        <f t="shared" si="0"/>
        <v>6957.5874999999996</v>
      </c>
      <c r="Y10" s="142"/>
      <c r="Z10" s="142"/>
    </row>
    <row r="11" spans="1:26" s="138" customFormat="1" ht="12" thickBot="1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10</v>
      </c>
      <c r="G11" s="141">
        <f>E11*F11</f>
        <v>5270</v>
      </c>
      <c r="H11" s="20">
        <f>(F11+Q11)*10</f>
        <v>120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>
        <v>2</v>
      </c>
      <c r="R11" s="21">
        <f t="shared" si="3"/>
        <v>1054</v>
      </c>
      <c r="S11" s="73">
        <v>0</v>
      </c>
      <c r="T11" s="21">
        <f t="shared" si="4"/>
        <v>0</v>
      </c>
      <c r="U11" s="353">
        <v>7</v>
      </c>
      <c r="V11" s="21">
        <f t="shared" si="5"/>
        <v>46.112500000000004</v>
      </c>
      <c r="W11" s="353">
        <f>537+123.52</f>
        <v>660.52</v>
      </c>
      <c r="X11" s="137">
        <f>+G11+H11+P11+R11+T11+V11+W11+I11</f>
        <v>7150.6324999999997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11</v>
      </c>
      <c r="G12" s="141">
        <f t="shared" ref="G12" si="7">E12*F12</f>
        <v>5797</v>
      </c>
      <c r="H12" s="20">
        <f t="shared" ref="H12" si="8">(F12+Q12)*10</f>
        <v>130</v>
      </c>
      <c r="I12" s="21"/>
      <c r="J12" s="73">
        <v>0</v>
      </c>
      <c r="K12" s="73">
        <v>0</v>
      </c>
      <c r="L12" s="73">
        <f>+'10.26-11.10(SI)'!J29</f>
        <v>0</v>
      </c>
      <c r="M12" s="353">
        <v>2</v>
      </c>
      <c r="N12" s="73">
        <f>+'10.26-11.10(SI)'!P29</f>
        <v>0</v>
      </c>
      <c r="O12" s="73">
        <f>+'10.26-11.10(SI)'!Q29</f>
        <v>0</v>
      </c>
      <c r="P12" s="233">
        <v>0</v>
      </c>
      <c r="Q12" s="73">
        <v>2</v>
      </c>
      <c r="R12" s="21">
        <f>+Q12*E12</f>
        <v>1054</v>
      </c>
      <c r="S12" s="73">
        <v>0</v>
      </c>
      <c r="T12" s="21">
        <f>(+S12*E12)*0.3</f>
        <v>0</v>
      </c>
      <c r="U12" s="353">
        <v>1</v>
      </c>
      <c r="V12" s="21">
        <f>(E12/8/10)*U12</f>
        <v>6.5875000000000004</v>
      </c>
      <c r="W12" s="73">
        <v>247.03</v>
      </c>
      <c r="X12" s="137">
        <f>+G12+H12+P12+R12+T12+V12+W12+I12</f>
        <v>7234.6174999999994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11</v>
      </c>
      <c r="G13" s="141">
        <f>E13*F13</f>
        <v>5797</v>
      </c>
      <c r="H13" s="20">
        <f>(F13+Q13)*10</f>
        <v>130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>
        <v>2</v>
      </c>
      <c r="R13" s="21">
        <f t="shared" si="3"/>
        <v>1054</v>
      </c>
      <c r="S13" s="73">
        <v>0</v>
      </c>
      <c r="T13" s="21">
        <f t="shared" si="4"/>
        <v>0</v>
      </c>
      <c r="U13" s="353">
        <v>7</v>
      </c>
      <c r="V13" s="21">
        <f t="shared" si="5"/>
        <v>46.112500000000004</v>
      </c>
      <c r="W13" s="73"/>
      <c r="X13" s="137">
        <f t="shared" si="0"/>
        <v>7027.1125000000002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47690</v>
      </c>
      <c r="H18" s="3">
        <f>SUM(H7:H16)</f>
        <v>810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82.34375</v>
      </c>
      <c r="Q18" s="4"/>
      <c r="R18" s="3">
        <f>SUM(R7:R16)</f>
        <v>3162</v>
      </c>
      <c r="S18" s="4"/>
      <c r="T18" s="3">
        <f>SUM(T7:T16)</f>
        <v>0</v>
      </c>
      <c r="U18" s="6"/>
      <c r="V18" s="3">
        <f>SUM(V7:V16)</f>
        <v>181.14615384615388</v>
      </c>
      <c r="W18" s="4"/>
      <c r="X18" s="3">
        <f>SUM(X7:X16)</f>
        <v>52997.729903846157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3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>
      <c r="A21" s="397"/>
      <c r="B21" s="399"/>
      <c r="C21" s="401"/>
      <c r="D21" s="418"/>
      <c r="E21" s="423"/>
      <c r="F21" s="429"/>
      <c r="G21" s="431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Dec 26,2019-Jan 10,2020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6993.9375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3">+D22-F22-H22-J22-K22-L22-M22-N22-O22-I22</f>
        <v>5505.9775</v>
      </c>
      <c r="R22" s="71">
        <f t="shared" ref="R22:R31" si="14">G7+H7+P7+R7+T7+V7+W7-F22-H22</f>
        <v>6993.9375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7221.2087499999998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3"/>
        <v>5335.2987499999999</v>
      </c>
      <c r="R23" s="71">
        <f>G8+H8+P8+R8+T8+V8+W8-F23-H23</f>
        <v>7221.2087499999998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10412.633653846155</v>
      </c>
      <c r="E24" s="353">
        <v>0</v>
      </c>
      <c r="F24" s="356">
        <f t="shared" si="15"/>
        <v>0</v>
      </c>
      <c r="G24" s="353">
        <v>0.43</v>
      </c>
      <c r="H24" s="356">
        <f>(+E9/8)*G24</f>
        <v>42.47490384615385</v>
      </c>
      <c r="I24" s="353"/>
      <c r="J24" s="15"/>
      <c r="K24" s="360"/>
      <c r="L24" s="15"/>
      <c r="M24" s="18">
        <v>100</v>
      </c>
      <c r="N24" s="360">
        <v>0</v>
      </c>
      <c r="O24" s="18"/>
      <c r="P24" s="158">
        <f t="shared" si="13"/>
        <v>10270.158750000001</v>
      </c>
      <c r="R24" s="71">
        <f t="shared" si="14"/>
        <v>10370.158750000001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6957.5874999999996</v>
      </c>
      <c r="E25" s="353">
        <v>1</v>
      </c>
      <c r="F25" s="356">
        <f t="shared" si="15"/>
        <v>527</v>
      </c>
      <c r="G25" s="353"/>
      <c r="H25" s="356">
        <f t="shared" ref="H25:H27" si="17">(+E10/8)*G25</f>
        <v>0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3"/>
        <v>5015.0874999999996</v>
      </c>
      <c r="R25" s="71">
        <f t="shared" si="14"/>
        <v>6430.5874999999996</v>
      </c>
    </row>
    <row r="26" spans="1:24" s="138" customFormat="1" ht="12" customHeight="1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7150.6324999999997</v>
      </c>
      <c r="E26" s="353">
        <v>0</v>
      </c>
      <c r="F26" s="356">
        <f t="shared" si="15"/>
        <v>0</v>
      </c>
      <c r="G26" s="353">
        <v>1.85</v>
      </c>
      <c r="H26" s="356">
        <f t="shared" si="17"/>
        <v>121.86875000000001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6928.7637500000001</v>
      </c>
      <c r="R26" s="71">
        <f t="shared" si="14"/>
        <v>7028.7637500000001</v>
      </c>
    </row>
    <row r="27" spans="1:24" s="138" customFormat="1" ht="12" customHeight="1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7234.6174999999994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6134.2074999999986</v>
      </c>
      <c r="R27" s="71">
        <f>G12+H12+P12+R12+T12+V12+W12-F27-H27</f>
        <v>7234.6174999999994</v>
      </c>
    </row>
    <row r="28" spans="1:24" s="138" customFormat="1" ht="12" customHeight="1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7027.1125000000002</v>
      </c>
      <c r="E28" s="353">
        <v>0</v>
      </c>
      <c r="F28" s="356">
        <f t="shared" si="15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6544.1125000000002</v>
      </c>
      <c r="R28" s="71">
        <f t="shared" si="14"/>
        <v>7027.1125000000002</v>
      </c>
    </row>
    <row r="29" spans="1:24" s="138" customFormat="1" ht="12" customHeight="1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52997.729903846157</v>
      </c>
      <c r="E33" s="4">
        <f>+SUM(E22:E32)</f>
        <v>1</v>
      </c>
      <c r="F33" s="3">
        <f>SUM(F22:F32)</f>
        <v>527</v>
      </c>
      <c r="G33" s="4"/>
      <c r="H33" s="3">
        <f>SUM(H22:H32)</f>
        <v>164.34365384615387</v>
      </c>
      <c r="I33" s="3">
        <f>+SUM(I22:I32)</f>
        <v>0</v>
      </c>
      <c r="J33" s="3">
        <f t="shared" ref="J33:O33" si="21">+SUM(J22:J32)</f>
        <v>0</v>
      </c>
      <c r="K33" s="3">
        <f t="shared" si="21"/>
        <v>2999.47</v>
      </c>
      <c r="L33" s="3">
        <f t="shared" si="21"/>
        <v>0</v>
      </c>
      <c r="M33" s="3">
        <f t="shared" si="21"/>
        <v>700</v>
      </c>
      <c r="N33" s="3">
        <f t="shared" si="21"/>
        <v>2873.31</v>
      </c>
      <c r="O33" s="3">
        <f t="shared" si="21"/>
        <v>0</v>
      </c>
      <c r="P33" s="5">
        <f>+SUM(P22:P32)</f>
        <v>45733.606249999997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3">+P22+(SUM(O35:Q35))</f>
        <v>6539.9775</v>
      </c>
    </row>
    <row r="36" spans="1:25">
      <c r="M36" s="16" t="str">
        <f t="shared" si="22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3"/>
        <v>5835.2987499999999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301</v>
      </c>
      <c r="M37" s="16" t="str">
        <f t="shared" si="22"/>
        <v>Dino, Joyce</v>
      </c>
      <c r="N37" s="165"/>
      <c r="O37" s="16">
        <f>600/2</f>
        <v>300</v>
      </c>
      <c r="P37" s="16">
        <v>1000</v>
      </c>
      <c r="Q37" s="16">
        <v>0</v>
      </c>
      <c r="S37" s="166">
        <f t="shared" si="23"/>
        <v>11570.158750000001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6049.0874999999996</v>
      </c>
      <c r="T38" s="334"/>
      <c r="U38" s="334"/>
      <c r="V38" s="334"/>
      <c r="W38" s="334"/>
      <c r="X38" s="334"/>
      <c r="Y38" s="334"/>
    </row>
    <row r="39" spans="1:25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>+P26+(SUM(O39:Q39))</f>
        <v>6928.7637500000001</v>
      </c>
      <c r="T39" s="361"/>
      <c r="U39" s="334"/>
      <c r="V39" s="334"/>
      <c r="W39" s="334"/>
      <c r="X39" s="334"/>
      <c r="Y39" s="334"/>
    </row>
    <row r="40" spans="1:25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6134.2074999999986</v>
      </c>
    </row>
    <row r="41" spans="1:25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6544.1125000000002</v>
      </c>
    </row>
    <row r="42" spans="1:25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>
      <c r="P46" s="169">
        <f>+P33+(SUM(O35:Q44))</f>
        <v>49601.606249999997</v>
      </c>
    </row>
    <row r="53" spans="1:16" ht="13.5" thickBot="1"/>
    <row r="54" spans="1:16" ht="13.5" thickBot="1">
      <c r="A54" s="396"/>
      <c r="B54" s="398" t="s">
        <v>0</v>
      </c>
      <c r="C54" s="400" t="s">
        <v>1</v>
      </c>
      <c r="D54" s="386" t="s">
        <v>45</v>
      </c>
      <c r="E54" s="384" t="s">
        <v>151</v>
      </c>
      <c r="F54" s="404" t="s">
        <v>302</v>
      </c>
      <c r="G54" s="405"/>
      <c r="H54" s="409"/>
      <c r="I54" s="406" t="s">
        <v>3</v>
      </c>
      <c r="J54" s="408" t="s">
        <v>114</v>
      </c>
      <c r="K54" s="403" t="s">
        <v>115</v>
      </c>
      <c r="L54" s="403" t="s">
        <v>116</v>
      </c>
      <c r="N54" s="417" t="s">
        <v>102</v>
      </c>
    </row>
    <row r="55" spans="1:16" ht="13.5" thickBot="1">
      <c r="A55" s="397"/>
      <c r="B55" s="399"/>
      <c r="C55" s="401"/>
      <c r="D55" s="387"/>
      <c r="E55" s="385"/>
      <c r="F55" s="245" t="s">
        <v>306</v>
      </c>
      <c r="G55" s="246" t="s">
        <v>148</v>
      </c>
      <c r="H55" s="410"/>
      <c r="I55" s="407"/>
      <c r="J55" s="408"/>
      <c r="K55" s="403"/>
      <c r="L55" s="403"/>
      <c r="N55" s="417"/>
    </row>
    <row r="56" spans="1:16" ht="13.5" thickBot="1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>
        <v>31.5</v>
      </c>
      <c r="E56" s="157"/>
      <c r="F56" s="236"/>
      <c r="G56" s="236">
        <v>0</v>
      </c>
      <c r="H56" s="157">
        <v>0</v>
      </c>
      <c r="I56" s="158">
        <f t="shared" ref="I56:I58" si="26">+D22-F22-H22-D56-J22-K22-L22-M22-N22-O22-E56-H56-F56-G56-I22</f>
        <v>5474.4775</v>
      </c>
      <c r="J56" s="274">
        <f>+O35</f>
        <v>150</v>
      </c>
      <c r="K56" s="274">
        <f t="shared" ref="K56:L60" si="27">+P35</f>
        <v>884</v>
      </c>
      <c r="L56" s="274">
        <f t="shared" si="27"/>
        <v>0</v>
      </c>
      <c r="N56" s="165">
        <f t="shared" ref="N56:N57" si="28">+I56+J56+K56</f>
        <v>6508.4775</v>
      </c>
    </row>
    <row r="57" spans="1:16" ht="13.5" thickBot="1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/>
      <c r="E57" s="122"/>
      <c r="F57" s="122"/>
      <c r="G57" s="122"/>
      <c r="H57" s="157">
        <v>0</v>
      </c>
      <c r="I57" s="158">
        <f>+D23-F23-H23-D57-J23-K23-L23-M23-N23-O23-E57-H57-F57-G57-I23</f>
        <v>5335.2987499999999</v>
      </c>
      <c r="J57" s="274">
        <f>+O36</f>
        <v>0</v>
      </c>
      <c r="K57" s="274">
        <f t="shared" si="27"/>
        <v>500</v>
      </c>
      <c r="L57" s="274">
        <f t="shared" si="27"/>
        <v>0</v>
      </c>
      <c r="N57" s="165">
        <f t="shared" si="28"/>
        <v>5835.2987499999999</v>
      </c>
    </row>
    <row r="58" spans="1:16" ht="13.5" thickBot="1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>
        <v>257.81</v>
      </c>
      <c r="F58" s="18">
        <v>4500</v>
      </c>
      <c r="G58" s="18">
        <v>0</v>
      </c>
      <c r="H58" s="157">
        <v>0</v>
      </c>
      <c r="I58" s="158">
        <f t="shared" si="26"/>
        <v>5512.348750000001</v>
      </c>
      <c r="J58" s="274">
        <f>+O37</f>
        <v>300</v>
      </c>
      <c r="K58" s="274">
        <f t="shared" si="27"/>
        <v>1000</v>
      </c>
      <c r="L58" s="274">
        <f t="shared" si="27"/>
        <v>0</v>
      </c>
      <c r="N58" s="165">
        <f>+I58+J58+K58</f>
        <v>6812.348750000001</v>
      </c>
      <c r="P58" s="165"/>
    </row>
    <row r="59" spans="1:16" ht="13.5" thickBot="1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>
        <v>121.5</v>
      </c>
      <c r="E59" s="122"/>
      <c r="F59" s="122"/>
      <c r="G59" s="122">
        <v>0</v>
      </c>
      <c r="H59" s="157">
        <v>0</v>
      </c>
      <c r="I59" s="158">
        <f>+D25-F25-H25-D59-J25-K25-L25-M25-N25-O25-E59-H59-F59-G59-I25</f>
        <v>4893.5874999999996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5927.5874999999996</v>
      </c>
    </row>
    <row r="60" spans="1:16" ht="13.5" thickBot="1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6928.7637500000001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6928.7637500000001</v>
      </c>
    </row>
    <row r="61" spans="1:16" ht="13.5" thickBot="1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/>
      <c r="E61" s="122"/>
      <c r="F61" s="122"/>
      <c r="G61" s="122"/>
      <c r="H61" s="157">
        <v>0</v>
      </c>
      <c r="I61" s="158">
        <f>+D27-F27-H27-D61-J27-K27-L27-M27-N27-O27-E61-H61-F61-G61-I27</f>
        <v>6134.2074999999986</v>
      </c>
      <c r="N61" s="165">
        <f>+I61+J61+K61</f>
        <v>6134.2074999999986</v>
      </c>
    </row>
    <row r="62" spans="1:16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/>
      <c r="E62" s="122"/>
      <c r="F62" s="122"/>
      <c r="G62" s="122"/>
      <c r="H62" s="157">
        <v>0</v>
      </c>
      <c r="I62" s="158">
        <f>+D28-F28-H28-D62-J28-K28-L28-M28-N28-O28-E62-H62-F62-G62-I28</f>
        <v>6544.1125000000002</v>
      </c>
      <c r="N62" s="165">
        <f>+I62+J62+K62</f>
        <v>6544.1125000000002</v>
      </c>
    </row>
    <row r="63" spans="1:16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6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153</v>
      </c>
      <c r="E67" s="3">
        <f>+SUM(E56:E66)</f>
        <v>257.81</v>
      </c>
      <c r="F67" s="3">
        <f>+SUM(F56:F66)</f>
        <v>4500</v>
      </c>
      <c r="G67" s="3">
        <f>+SUM(G56:G66)</f>
        <v>0</v>
      </c>
      <c r="H67" s="3">
        <f>+SUM(H56:H66)</f>
        <v>0</v>
      </c>
      <c r="I67" s="5">
        <f>+SUM(I56:I66)</f>
        <v>40822.796249999999</v>
      </c>
      <c r="N67" s="275">
        <f>SUM(N56:N66)</f>
        <v>44690.796249999999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5" t="str">
        <f>'26-10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'26-10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>
      <c r="A3" s="170"/>
      <c r="B3" s="438" t="str">
        <f>'26-10 payroll'!D2</f>
        <v>VALERO</v>
      </c>
      <c r="C3" s="439"/>
      <c r="D3" s="439"/>
      <c r="E3" s="439"/>
      <c r="F3" s="439"/>
      <c r="G3" s="439"/>
      <c r="H3" s="440"/>
      <c r="I3" s="178"/>
      <c r="J3" s="438" t="str">
        <f>'26-10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4" t="str">
        <f>'26-10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'26-10 payroll'!B8</f>
        <v>Sanchez, Angelo</v>
      </c>
      <c r="M7" s="444"/>
      <c r="N7" s="444"/>
      <c r="O7" s="9"/>
      <c r="P7" s="194"/>
    </row>
    <row r="8" spans="1:22">
      <c r="B8" s="192" t="s">
        <v>28</v>
      </c>
      <c r="C8" s="193" t="s">
        <v>27</v>
      </c>
      <c r="D8" s="445">
        <f>'26-10 payroll'!E7</f>
        <v>527</v>
      </c>
      <c r="E8" s="445"/>
      <c r="F8" s="445"/>
      <c r="G8" s="55"/>
      <c r="H8" s="196"/>
      <c r="I8" s="195"/>
      <c r="J8" s="192" t="s">
        <v>28</v>
      </c>
      <c r="K8" s="193" t="s">
        <v>27</v>
      </c>
      <c r="L8" s="445">
        <f>'26-10 payroll'!E8</f>
        <v>527</v>
      </c>
      <c r="M8" s="445"/>
      <c r="N8" s="445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6" t="str">
        <f>'26-10 payroll'!D3</f>
        <v>Dec 26,2019-Jan 10,2020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Dec 26,2019-Jan 10,2020</v>
      </c>
      <c r="M9" s="446"/>
      <c r="N9" s="446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82.34375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110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1066.9375</v>
      </c>
      <c r="G17" s="55"/>
      <c r="H17" s="56">
        <f>SUM(F13:F17)</f>
        <v>1176.9375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677.86500000000001</v>
      </c>
      <c r="O17" s="9"/>
      <c r="P17" s="10">
        <f>SUM(N13:N17)</f>
        <v>870.20875000000001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31.5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-1519.46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6508.4775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5835.2987499999999</v>
      </c>
      <c r="R28" s="215"/>
      <c r="T28" s="216">
        <f>+H28-'26-10 payroll'!S35</f>
        <v>-31.5</v>
      </c>
      <c r="U28" s="217"/>
      <c r="V28" s="218">
        <f>+P28-'26-10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5" t="str">
        <f>'26-10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'26-10 payroll'!A1</f>
        <v>THE OLD SPAGHETTI HOUSE</v>
      </c>
      <c r="K35" s="436"/>
      <c r="L35" s="436"/>
      <c r="M35" s="436"/>
      <c r="N35" s="436"/>
      <c r="O35" s="436"/>
      <c r="P35" s="437"/>
    </row>
    <row r="36" spans="2:17">
      <c r="B36" s="438" t="str">
        <f>'26-10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'26-10 payroll'!D2</f>
        <v>VALERO</v>
      </c>
      <c r="K36" s="439"/>
      <c r="L36" s="439"/>
      <c r="M36" s="439"/>
      <c r="N36" s="439"/>
      <c r="O36" s="439"/>
      <c r="P36" s="440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4" t="str">
        <f>'26-10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'26-10 payroll'!B10</f>
        <v xml:space="preserve">Sosa, Anna Marie </v>
      </c>
      <c r="M40" s="444"/>
      <c r="N40" s="444"/>
      <c r="O40" s="9"/>
      <c r="P40" s="194"/>
    </row>
    <row r="41" spans="2:17">
      <c r="B41" s="192" t="s">
        <v>28</v>
      </c>
      <c r="C41" s="193" t="s">
        <v>27</v>
      </c>
      <c r="D41" s="445">
        <f>'26-10 payroll'!E9</f>
        <v>790.23076923076928</v>
      </c>
      <c r="E41" s="445"/>
      <c r="F41" s="445"/>
      <c r="G41" s="55"/>
      <c r="H41" s="196"/>
      <c r="I41" s="195"/>
      <c r="J41" s="192" t="s">
        <v>28</v>
      </c>
      <c r="K41" s="193" t="s">
        <v>27</v>
      </c>
      <c r="L41" s="445">
        <f>'26-10 payroll'!E10</f>
        <v>527</v>
      </c>
      <c r="M41" s="445"/>
      <c r="N41" s="445"/>
      <c r="O41" s="9"/>
      <c r="P41" s="196"/>
    </row>
    <row r="42" spans="2:17">
      <c r="B42" s="192" t="s">
        <v>29</v>
      </c>
      <c r="C42" s="193" t="s">
        <v>27</v>
      </c>
      <c r="D42" s="446" t="str">
        <f>'26-10 payroll'!D3</f>
        <v>Dec 26,2019-Jan 10,2020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'26-10 payroll'!D3</f>
        <v>Dec 26,2019-Jan 10,2020</v>
      </c>
      <c r="M42" s="446"/>
      <c r="N42" s="446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8.5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9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100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1329.6336538461537</v>
      </c>
      <c r="G50" s="55"/>
      <c r="H50" s="56">
        <f>SUM(F46:F50)</f>
        <v>1439.6336538461537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1040.5875000000001</v>
      </c>
      <c r="O50" s="9"/>
      <c r="P50" s="10">
        <f>SUM(N46:N50)</f>
        <v>1140.5875000000001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4757.8100000000004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121.5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42.47490384615385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527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-4900.2849038461545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-2064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6812.3487500000001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5927.5874999999996</v>
      </c>
      <c r="Q61" s="174"/>
      <c r="T61" s="216">
        <f>+H61-'26-10 payroll'!S37</f>
        <v>-4757.8100000000004</v>
      </c>
      <c r="V61" s="237">
        <f>+P61-'26-10 payroll'!S38</f>
        <v>-121.5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5" t="str">
        <f>'26-10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'26-10 payroll'!A1</f>
        <v>THE OLD SPAGHETTI HOUSE</v>
      </c>
      <c r="K68" s="436"/>
      <c r="L68" s="436"/>
      <c r="M68" s="436"/>
      <c r="N68" s="436"/>
      <c r="O68" s="436"/>
      <c r="P68" s="437"/>
    </row>
    <row r="69" spans="2:17">
      <c r="B69" s="438" t="str">
        <f>'26-10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'26-10 payroll'!D2</f>
        <v>VALERO</v>
      </c>
      <c r="K69" s="439"/>
      <c r="L69" s="439"/>
      <c r="M69" s="439"/>
      <c r="N69" s="439"/>
      <c r="O69" s="439"/>
      <c r="P69" s="440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7" t="str">
        <f>'26-10 payroll'!B11</f>
        <v>Briones, Christian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'26-10 payroll'!B12</f>
        <v>Cahilig,Benzen</v>
      </c>
      <c r="M73" s="444"/>
      <c r="N73" s="444"/>
      <c r="O73" s="9"/>
      <c r="P73" s="194"/>
    </row>
    <row r="74" spans="2:17">
      <c r="B74" s="192" t="s">
        <v>28</v>
      </c>
      <c r="C74" s="193" t="s">
        <v>27</v>
      </c>
      <c r="D74" s="445">
        <f>'26-10 payroll'!E11</f>
        <v>527</v>
      </c>
      <c r="E74" s="445"/>
      <c r="F74" s="445"/>
      <c r="G74" s="55"/>
      <c r="H74" s="196"/>
      <c r="I74" s="195"/>
      <c r="J74" s="192" t="s">
        <v>28</v>
      </c>
      <c r="K74" s="193" t="s">
        <v>27</v>
      </c>
      <c r="L74" s="445">
        <f>'26-10 payroll'!E12</f>
        <v>527</v>
      </c>
      <c r="M74" s="445"/>
      <c r="N74" s="445"/>
      <c r="O74" s="9"/>
      <c r="P74" s="196"/>
    </row>
    <row r="75" spans="2:17">
      <c r="B75" s="192" t="s">
        <v>29</v>
      </c>
      <c r="C75" s="193" t="s">
        <v>27</v>
      </c>
      <c r="D75" s="446" t="str">
        <f>'26-10 payroll'!D3</f>
        <v>Dec 26,2019-Jan 10,2020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Dec 26,2019-Jan 10,2020</v>
      </c>
      <c r="M75" s="446"/>
      <c r="N75" s="446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5797</v>
      </c>
      <c r="Q76" s="174"/>
    </row>
    <row r="77" spans="2:17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1054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1054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706.63249999999994</v>
      </c>
      <c r="G83" s="55"/>
      <c r="H83" s="56">
        <f>SUM(F79:F83)</f>
        <v>1880.6324999999999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253.61750000000001</v>
      </c>
      <c r="O83" s="9"/>
      <c r="P83" s="10">
        <f>SUM(N79:N83)</f>
        <v>1437.6175000000001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121.86875000000001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-221.86875000000001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6928.7637500000001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6134.2075000000004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5" t="str">
        <f>'26-10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'26-10 payroll'!A1</f>
        <v>THE OLD SPAGHETTI HOUSE</v>
      </c>
      <c r="K101" s="436"/>
      <c r="L101" s="436"/>
      <c r="M101" s="436"/>
      <c r="N101" s="436"/>
      <c r="O101" s="436"/>
      <c r="P101" s="437"/>
    </row>
    <row r="102" spans="2:17">
      <c r="B102" s="438" t="str">
        <f>'26-10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'26-10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7" t="str">
        <f>'26-10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'26-10 payroll'!B29</f>
        <v>0</v>
      </c>
      <c r="M106" s="444"/>
      <c r="N106" s="444"/>
      <c r="O106" s="9"/>
      <c r="P106" s="194"/>
    </row>
    <row r="107" spans="2:17">
      <c r="B107" s="192" t="s">
        <v>28</v>
      </c>
      <c r="C107" s="193" t="s">
        <v>27</v>
      </c>
      <c r="D107" s="445">
        <f>'26-10 payroll'!E13</f>
        <v>527</v>
      </c>
      <c r="E107" s="445"/>
      <c r="F107" s="445"/>
      <c r="G107" s="55"/>
      <c r="H107" s="196"/>
      <c r="I107" s="195"/>
      <c r="J107" s="192" t="s">
        <v>28</v>
      </c>
      <c r="K107" s="193" t="s">
        <v>27</v>
      </c>
      <c r="L107" s="445">
        <f>'26-10 payroll'!E14</f>
        <v>0</v>
      </c>
      <c r="M107" s="445"/>
      <c r="N107" s="445"/>
      <c r="O107" s="9"/>
      <c r="P107" s="196"/>
    </row>
    <row r="108" spans="2:17">
      <c r="B108" s="192" t="s">
        <v>29</v>
      </c>
      <c r="C108" s="193" t="s">
        <v>27</v>
      </c>
      <c r="D108" s="446" t="str">
        <f>'26-10 payroll'!D3</f>
        <v>Dec 26,2019-Jan 10,2020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'26-10 payroll'!D3</f>
        <v>Dec 26,2019-Jan 10,2020</v>
      </c>
      <c r="M108" s="446"/>
      <c r="N108" s="446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1054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46.112500000000004</v>
      </c>
      <c r="G116" s="55"/>
      <c r="H116" s="56">
        <f>SUM(F112:F116)</f>
        <v>1230.1125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-483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6544.1125000000002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5" t="str">
        <f>'26-10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'26-10 payroll'!A1</f>
        <v>THE OLD SPAGHETTI HOUSE</v>
      </c>
      <c r="K134" s="436"/>
      <c r="L134" s="436"/>
      <c r="M134" s="436"/>
      <c r="N134" s="436"/>
      <c r="O134" s="436"/>
      <c r="P134" s="437"/>
    </row>
    <row r="135" spans="2:17">
      <c r="B135" s="438" t="str">
        <f>'26-10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'26-10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7">
        <f>'26-10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'26-10 payroll'!C112</f>
        <v>0</v>
      </c>
      <c r="M139" s="444"/>
      <c r="N139" s="444"/>
      <c r="O139" s="9"/>
      <c r="P139" s="194"/>
    </row>
    <row r="140" spans="2:17">
      <c r="B140" s="192" t="s">
        <v>28</v>
      </c>
      <c r="C140" s="193" t="s">
        <v>27</v>
      </c>
      <c r="D140" s="445">
        <f>'26-10 payroll'!E15</f>
        <v>0</v>
      </c>
      <c r="E140" s="445"/>
      <c r="F140" s="445"/>
      <c r="G140" s="55"/>
      <c r="H140" s="196"/>
      <c r="I140" s="195"/>
      <c r="J140" s="192" t="s">
        <v>28</v>
      </c>
      <c r="K140" s="193" t="s">
        <v>27</v>
      </c>
      <c r="L140" s="445">
        <f>'26-10 payroll'!E112</f>
        <v>0</v>
      </c>
      <c r="M140" s="445"/>
      <c r="N140" s="445"/>
      <c r="O140" s="9"/>
      <c r="P140" s="196"/>
    </row>
    <row r="141" spans="2:17">
      <c r="B141" s="192" t="s">
        <v>29</v>
      </c>
      <c r="C141" s="193" t="s">
        <v>27</v>
      </c>
      <c r="D141" s="446" t="str">
        <f>'26-10 payroll'!D3</f>
        <v>Dec 26,2019-Jan 10,2020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'26-10 payroll'!D105</f>
        <v>0</v>
      </c>
      <c r="M141" s="446"/>
      <c r="N141" s="446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388"/>
      <c r="B5" s="390" t="s">
        <v>0</v>
      </c>
      <c r="C5" s="392" t="s">
        <v>1</v>
      </c>
      <c r="D5" s="393" t="s">
        <v>13</v>
      </c>
      <c r="E5" s="392" t="s">
        <v>14</v>
      </c>
      <c r="F5" s="393" t="s">
        <v>15</v>
      </c>
      <c r="G5" s="392" t="s">
        <v>16</v>
      </c>
      <c r="H5" s="393" t="s">
        <v>44</v>
      </c>
      <c r="I5" s="426" t="s">
        <v>118</v>
      </c>
      <c r="J5" s="432" t="s">
        <v>91</v>
      </c>
      <c r="K5" s="433"/>
      <c r="L5" s="434"/>
      <c r="M5" s="415" t="s">
        <v>108</v>
      </c>
      <c r="N5" s="416"/>
      <c r="O5" s="416"/>
      <c r="P5" s="392" t="s">
        <v>2</v>
      </c>
      <c r="Q5" s="393" t="s">
        <v>17</v>
      </c>
      <c r="R5" s="392" t="s">
        <v>2</v>
      </c>
      <c r="S5" s="393" t="s">
        <v>18</v>
      </c>
      <c r="T5" s="392" t="s">
        <v>2</v>
      </c>
      <c r="U5" s="393" t="s">
        <v>19</v>
      </c>
      <c r="V5" s="392" t="s">
        <v>2</v>
      </c>
      <c r="W5" s="393" t="s">
        <v>20</v>
      </c>
      <c r="X5" s="420" t="s">
        <v>3</v>
      </c>
    </row>
    <row r="6" spans="1:26" s="138" customFormat="1" ht="27" customHeight="1" thickBot="1">
      <c r="A6" s="389"/>
      <c r="B6" s="391"/>
      <c r="C6" s="391"/>
      <c r="D6" s="394"/>
      <c r="E6" s="395"/>
      <c r="F6" s="394"/>
      <c r="G6" s="395"/>
      <c r="H6" s="419"/>
      <c r="I6" s="42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394"/>
      <c r="R6" s="391"/>
      <c r="S6" s="394"/>
      <c r="T6" s="391"/>
      <c r="U6" s="394"/>
      <c r="V6" s="391"/>
      <c r="W6" s="419"/>
      <c r="X6" s="421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6"/>
      <c r="B20" s="398" t="s">
        <v>0</v>
      </c>
      <c r="C20" s="400" t="s">
        <v>1</v>
      </c>
      <c r="D20" s="386" t="s">
        <v>3</v>
      </c>
      <c r="E20" s="422" t="s">
        <v>22</v>
      </c>
      <c r="F20" s="428" t="s">
        <v>2</v>
      </c>
      <c r="G20" s="400" t="s">
        <v>21</v>
      </c>
      <c r="H20" s="386" t="s">
        <v>2</v>
      </c>
      <c r="I20" s="424" t="s">
        <v>126</v>
      </c>
      <c r="J20" s="411" t="s">
        <v>4</v>
      </c>
      <c r="K20" s="413" t="s">
        <v>23</v>
      </c>
      <c r="L20" s="386" t="s">
        <v>5</v>
      </c>
      <c r="M20" s="386" t="s">
        <v>6</v>
      </c>
      <c r="N20" s="386" t="s">
        <v>24</v>
      </c>
      <c r="O20" s="386" t="s">
        <v>7</v>
      </c>
      <c r="P20" s="406" t="s">
        <v>3</v>
      </c>
      <c r="Q20" s="244"/>
      <c r="R20" s="152" t="s">
        <v>103</v>
      </c>
      <c r="S20" s="244"/>
    </row>
    <row r="21" spans="1:24" s="138" customFormat="1" ht="15" customHeight="1" thickBot="1">
      <c r="A21" s="397"/>
      <c r="B21" s="399"/>
      <c r="C21" s="401"/>
      <c r="D21" s="418"/>
      <c r="E21" s="423"/>
      <c r="F21" s="429"/>
      <c r="G21" s="448"/>
      <c r="H21" s="402"/>
      <c r="I21" s="425"/>
      <c r="J21" s="412"/>
      <c r="K21" s="414"/>
      <c r="L21" s="402"/>
      <c r="M21" s="402"/>
      <c r="N21" s="418"/>
      <c r="O21" s="402"/>
      <c r="P21" s="407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96"/>
      <c r="B54" s="398" t="s">
        <v>0</v>
      </c>
      <c r="C54" s="400" t="s">
        <v>1</v>
      </c>
      <c r="D54" s="386" t="s">
        <v>3</v>
      </c>
      <c r="E54" s="386" t="s">
        <v>45</v>
      </c>
      <c r="F54" s="384" t="s">
        <v>151</v>
      </c>
      <c r="G54" s="404" t="s">
        <v>112</v>
      </c>
      <c r="H54" s="405"/>
      <c r="I54" s="409"/>
      <c r="J54" s="406" t="s">
        <v>3</v>
      </c>
      <c r="K54" s="408" t="s">
        <v>114</v>
      </c>
      <c r="L54" s="403" t="s">
        <v>115</v>
      </c>
      <c r="M54" s="403" t="s">
        <v>116</v>
      </c>
      <c r="O54" s="417" t="s">
        <v>102</v>
      </c>
    </row>
    <row r="55" spans="1:15" ht="13.5" thickBot="1">
      <c r="A55" s="397"/>
      <c r="B55" s="399"/>
      <c r="C55" s="401"/>
      <c r="D55" s="418"/>
      <c r="E55" s="387"/>
      <c r="F55" s="385"/>
      <c r="G55" s="245" t="s">
        <v>113</v>
      </c>
      <c r="H55" s="246" t="s">
        <v>148</v>
      </c>
      <c r="I55" s="410"/>
      <c r="J55" s="407"/>
      <c r="K55" s="408"/>
      <c r="L55" s="403"/>
      <c r="M55" s="403"/>
      <c r="O55" s="417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5" t="str">
        <f>'11-25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>
      <c r="A3" s="170"/>
      <c r="B3" s="438" t="str">
        <f>'11-25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4" t="str">
        <f>'11-25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'11-25 payroll'!B8</f>
        <v>Sanchez, Angelo</v>
      </c>
      <c r="M7" s="444"/>
      <c r="N7" s="444"/>
      <c r="O7" s="9"/>
      <c r="P7" s="194"/>
    </row>
    <row r="8" spans="1:22">
      <c r="B8" s="192" t="s">
        <v>28</v>
      </c>
      <c r="C8" s="193" t="s">
        <v>27</v>
      </c>
      <c r="D8" s="445">
        <f>'11-25 payroll'!E7</f>
        <v>502</v>
      </c>
      <c r="E8" s="445"/>
      <c r="F8" s="445"/>
      <c r="G8" s="55"/>
      <c r="H8" s="235"/>
      <c r="I8" s="195"/>
      <c r="J8" s="192" t="s">
        <v>28</v>
      </c>
      <c r="K8" s="193" t="s">
        <v>27</v>
      </c>
      <c r="L8" s="445">
        <f>'11-25 payroll'!E8</f>
        <v>502</v>
      </c>
      <c r="M8" s="445"/>
      <c r="N8" s="445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6" t="str">
        <f>'11-25 payroll'!D3</f>
        <v>August 11-25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'11-25 payroll'!D3</f>
        <v>August 11-25</v>
      </c>
      <c r="M9" s="446"/>
      <c r="N9" s="446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5" t="str">
        <f>'11-25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'11-25 payroll'!A1</f>
        <v>THE OLD SPAGHETTI HOUSE</v>
      </c>
      <c r="K35" s="436"/>
      <c r="L35" s="436"/>
      <c r="M35" s="436"/>
      <c r="N35" s="436"/>
      <c r="O35" s="436"/>
      <c r="P35" s="437"/>
    </row>
    <row r="36" spans="2:17">
      <c r="B36" s="438" t="str">
        <f>'11-25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4" t="str">
        <f>'11-25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'11-25 payroll'!B10</f>
        <v xml:space="preserve">Sosa, Anna Marie </v>
      </c>
      <c r="M40" s="444"/>
      <c r="N40" s="444"/>
      <c r="O40" s="9"/>
      <c r="P40" s="194"/>
    </row>
    <row r="41" spans="2:17">
      <c r="B41" s="192" t="s">
        <v>28</v>
      </c>
      <c r="C41" s="193" t="s">
        <v>27</v>
      </c>
      <c r="D41" s="445">
        <f>'11-25 payroll'!E9</f>
        <v>790.23076923076928</v>
      </c>
      <c r="E41" s="445"/>
      <c r="F41" s="445"/>
      <c r="G41" s="55"/>
      <c r="H41" s="235"/>
      <c r="I41" s="195"/>
      <c r="J41" s="192" t="s">
        <v>28</v>
      </c>
      <c r="K41" s="193" t="s">
        <v>27</v>
      </c>
      <c r="L41" s="445">
        <f>'11-25 payroll'!E10</f>
        <v>502</v>
      </c>
      <c r="M41" s="445"/>
      <c r="N41" s="445"/>
      <c r="O41" s="9"/>
      <c r="P41" s="235"/>
    </row>
    <row r="42" spans="2:17">
      <c r="B42" s="192" t="s">
        <v>29</v>
      </c>
      <c r="C42" s="193" t="s">
        <v>27</v>
      </c>
      <c r="D42" s="446" t="str">
        <f>'11-25 payroll'!D3</f>
        <v>August 11-25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tr">
        <f>'11-25 payroll'!D3</f>
        <v>August 11-25</v>
      </c>
      <c r="M42" s="446"/>
      <c r="N42" s="446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5" t="str">
        <f>'11-25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'11-25 payroll'!A1</f>
        <v>THE OLD SPAGHETTI HOUSE</v>
      </c>
      <c r="K68" s="436"/>
      <c r="L68" s="436"/>
      <c r="M68" s="436"/>
      <c r="N68" s="436"/>
      <c r="O68" s="436"/>
      <c r="P68" s="437"/>
    </row>
    <row r="69" spans="2:17">
      <c r="B69" s="438" t="str">
        <f>'11-25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7" t="str">
        <f>'11-25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>
        <f>'11-25 payroll'!B12</f>
        <v>0</v>
      </c>
      <c r="M73" s="444"/>
      <c r="N73" s="444"/>
      <c r="O73" s="9"/>
      <c r="P73" s="194"/>
    </row>
    <row r="74" spans="2:17">
      <c r="B74" s="192" t="s">
        <v>28</v>
      </c>
      <c r="C74" s="193" t="s">
        <v>27</v>
      </c>
      <c r="D74" s="445">
        <f>'11-25 payroll'!E11</f>
        <v>502</v>
      </c>
      <c r="E74" s="445"/>
      <c r="F74" s="445"/>
      <c r="G74" s="55"/>
      <c r="H74" s="235"/>
      <c r="I74" s="195"/>
      <c r="J74" s="192" t="s">
        <v>28</v>
      </c>
      <c r="K74" s="193" t="s">
        <v>27</v>
      </c>
      <c r="L74" s="445">
        <f>'11-25 payroll'!E12</f>
        <v>0</v>
      </c>
      <c r="M74" s="445"/>
      <c r="N74" s="445"/>
      <c r="O74" s="9"/>
      <c r="P74" s="235"/>
    </row>
    <row r="75" spans="2:17">
      <c r="B75" s="192" t="s">
        <v>29</v>
      </c>
      <c r="C75" s="193" t="s">
        <v>27</v>
      </c>
      <c r="D75" s="446" t="str">
        <f>'11-25 payroll'!D3</f>
        <v>August 11-25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'11-25 payroll'!D3</f>
        <v>August 11-25</v>
      </c>
      <c r="M75" s="446"/>
      <c r="N75" s="446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5" t="str">
        <f>'11-25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>
      <c r="B102" s="438" t="str">
        <f>'11-25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7">
        <f>'11-25 payroll'!B13</f>
        <v>0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'11-25 payroll'!B29</f>
        <v>0</v>
      </c>
      <c r="M106" s="444"/>
      <c r="N106" s="444"/>
      <c r="O106" s="9"/>
      <c r="P106" s="194"/>
    </row>
    <row r="107" spans="2:17">
      <c r="B107" s="192" t="s">
        <v>28</v>
      </c>
      <c r="C107" s="193" t="s">
        <v>27</v>
      </c>
      <c r="D107" s="445">
        <f>'11-25 payroll'!E13</f>
        <v>0</v>
      </c>
      <c r="E107" s="445"/>
      <c r="F107" s="445"/>
      <c r="G107" s="55"/>
      <c r="H107" s="235"/>
      <c r="I107" s="195"/>
      <c r="J107" s="192" t="s">
        <v>28</v>
      </c>
      <c r="K107" s="193" t="s">
        <v>27</v>
      </c>
      <c r="L107" s="445">
        <f>'11-25 payroll'!E14</f>
        <v>0</v>
      </c>
      <c r="M107" s="445"/>
      <c r="N107" s="445"/>
      <c r="O107" s="9"/>
      <c r="P107" s="235"/>
    </row>
    <row r="108" spans="2:17">
      <c r="B108" s="192" t="s">
        <v>29</v>
      </c>
      <c r="C108" s="193" t="s">
        <v>27</v>
      </c>
      <c r="D108" s="446" t="str">
        <f>'11-25 payroll'!D3</f>
        <v>August 11-25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'11-25 payroll'!D3</f>
        <v>August 11-25</v>
      </c>
      <c r="M108" s="446"/>
      <c r="N108" s="446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5" t="str">
        <f>'11-25 payroll'!A1</f>
        <v>THE OLD SPAGHETTI HOUSE</v>
      </c>
      <c r="C134" s="436"/>
      <c r="D134" s="436"/>
      <c r="E134" s="436"/>
      <c r="F134" s="436"/>
      <c r="G134" s="436"/>
      <c r="H134" s="437"/>
      <c r="I134" s="178"/>
      <c r="J134" s="435" t="str">
        <f>'11-25 payroll'!A1</f>
        <v>THE OLD SPAGHETTI HOUSE</v>
      </c>
      <c r="K134" s="436"/>
      <c r="L134" s="436"/>
      <c r="M134" s="436"/>
      <c r="N134" s="436"/>
      <c r="O134" s="436"/>
      <c r="P134" s="437"/>
    </row>
    <row r="135" spans="2:17">
      <c r="B135" s="438" t="str">
        <f>'11-25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7">
        <f>'11-25 payroll'!B15</f>
        <v>0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>
        <f>'11-25 payroll'!C112</f>
        <v>0</v>
      </c>
      <c r="M139" s="444"/>
      <c r="N139" s="444"/>
      <c r="O139" s="9"/>
      <c r="P139" s="194"/>
    </row>
    <row r="140" spans="2:17">
      <c r="B140" s="192" t="s">
        <v>28</v>
      </c>
      <c r="C140" s="193" t="s">
        <v>27</v>
      </c>
      <c r="D140" s="445">
        <f>'11-25 payroll'!E15</f>
        <v>0</v>
      </c>
      <c r="E140" s="445"/>
      <c r="F140" s="445"/>
      <c r="G140" s="55"/>
      <c r="H140" s="235"/>
      <c r="I140" s="195"/>
      <c r="J140" s="192" t="s">
        <v>28</v>
      </c>
      <c r="K140" s="193" t="s">
        <v>27</v>
      </c>
      <c r="L140" s="445">
        <f>'11-25 payroll'!E112</f>
        <v>0</v>
      </c>
      <c r="M140" s="445"/>
      <c r="N140" s="445"/>
      <c r="O140" s="9"/>
      <c r="P140" s="235"/>
    </row>
    <row r="141" spans="2:17">
      <c r="B141" s="192" t="s">
        <v>29</v>
      </c>
      <c r="C141" s="193" t="s">
        <v>27</v>
      </c>
      <c r="D141" s="446" t="str">
        <f>'11-25 payroll'!D3</f>
        <v>August 11-25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>
        <f>'11-25 payroll'!D105</f>
        <v>0</v>
      </c>
      <c r="M141" s="446"/>
      <c r="N141" s="446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Dec 26,2019-Jan 10,2020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53" t="s">
        <v>65</v>
      </c>
      <c r="H15" s="453"/>
      <c r="J15" s="454" t="s">
        <v>66</v>
      </c>
      <c r="K15" s="454"/>
      <c r="L15" s="454"/>
      <c r="M15" s="454" t="s">
        <v>67</v>
      </c>
      <c r="N15" s="454"/>
      <c r="O15" s="453" t="s">
        <v>68</v>
      </c>
      <c r="P15" s="453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51" t="s">
        <v>70</v>
      </c>
      <c r="H16" s="451"/>
      <c r="I16" s="70" t="s">
        <v>71</v>
      </c>
      <c r="J16" s="455" t="s">
        <v>72</v>
      </c>
      <c r="K16" s="455"/>
      <c r="L16" s="455"/>
      <c r="M16" s="455" t="s">
        <v>73</v>
      </c>
      <c r="N16" s="455"/>
      <c r="O16" s="451" t="s">
        <v>74</v>
      </c>
      <c r="P16" s="451"/>
      <c r="Q16" s="251" t="s">
        <v>75</v>
      </c>
      <c r="R16" s="450" t="s">
        <v>117</v>
      </c>
      <c r="S16" s="451"/>
      <c r="T16" s="451"/>
      <c r="U16" s="452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6993.9375</v>
      </c>
      <c r="H18" s="80">
        <f>'11-25 payroll'!R22</f>
        <v>6526</v>
      </c>
      <c r="I18" s="81">
        <f>G18+H18</f>
        <v>13519.9375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7221.2087499999998</v>
      </c>
      <c r="H19" s="80">
        <f>'11-25 payroll'!R23</f>
        <v>6526</v>
      </c>
      <c r="I19" s="81">
        <f t="shared" ref="I19:I27" si="0">G19+H19</f>
        <v>13747.20875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10370.158750000001</v>
      </c>
      <c r="H20" s="80">
        <f>'11-25 payroll'!R24</f>
        <v>10273</v>
      </c>
      <c r="I20" s="81">
        <f t="shared" si="0"/>
        <v>20643.158750000002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4500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6430.5874999999996</v>
      </c>
      <c r="H21" s="80">
        <f>'11-25 payroll'!R25</f>
        <v>6526</v>
      </c>
      <c r="I21" s="81">
        <f t="shared" si="0"/>
        <v>12956.5875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7028.7637500000001</v>
      </c>
      <c r="H22" s="80">
        <f>'11-25 payroll'!R26</f>
        <v>6526</v>
      </c>
      <c r="I22" s="81">
        <f t="shared" si="0"/>
        <v>13554.76375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7234.6174999999994</v>
      </c>
      <c r="H23" s="80">
        <f>'11-25 payroll'!R27</f>
        <v>0</v>
      </c>
      <c r="I23" s="93">
        <f t="shared" si="0"/>
        <v>7234.6174999999994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7027.1125000000002</v>
      </c>
      <c r="H24" s="80">
        <f>'11-25 payroll'!R28</f>
        <v>0</v>
      </c>
      <c r="I24" s="81">
        <f t="shared" si="0"/>
        <v>7027.1125000000002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383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52306.386250000003</v>
      </c>
      <c r="H29" s="103">
        <f t="shared" ref="H29:O29" si="3">SUM(H18:H27)</f>
        <v>36377</v>
      </c>
      <c r="I29" s="103">
        <f t="shared" si="3"/>
        <v>88683.386249999996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4526.2250000000004</v>
      </c>
      <c r="T29" s="103">
        <f t="shared" si="4"/>
        <v>4500</v>
      </c>
      <c r="U29" s="260">
        <f t="shared" si="4"/>
        <v>3901.2999999999997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50</v>
      </c>
      <c r="H34" s="263">
        <f>+'26-10 payroll'!H9+'11-25 payroll'!H9</f>
        <v>110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29.633653846153848</v>
      </c>
      <c r="M34" s="109">
        <f>+'26-10 payroll'!W9+'11-25 payroll'!W9</f>
        <v>0</v>
      </c>
      <c r="N34" s="109">
        <f>+'26-10 payroll'!F24+'26-10 payroll'!H24+'11-25 payroll'!F24+'11-25 payroll'!H24</f>
        <v>42.47490384615385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110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29.633653846153848</v>
      </c>
      <c r="M36" s="264">
        <f t="shared" si="5"/>
        <v>0</v>
      </c>
      <c r="N36" s="264">
        <f t="shared" si="5"/>
        <v>42.47490384615385</v>
      </c>
      <c r="O36" s="264">
        <f t="shared" si="5"/>
        <v>0</v>
      </c>
      <c r="P36" s="264">
        <f t="shared" si="5"/>
        <v>2550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110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32.9375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110</v>
      </c>
      <c r="I38" s="263">
        <f>+'26-10 payroll'!P8+'11-25 payroll'!P8</f>
        <v>82.34375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13.175000000000001</v>
      </c>
      <c r="M38" s="109">
        <f>+'26-10 payroll'!W8+'11-25 payroll'!W8</f>
        <v>164.69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100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6.5875000000000004</v>
      </c>
      <c r="M39" s="109">
        <f>+'26-10 payroll'!W10+'11-25 payroll'!W10</f>
        <v>0</v>
      </c>
      <c r="N39" s="109">
        <f>+'26-10 payroll'!F25+'26-10 payroll'!H25+'11-25 payroll'!F25+'11-25 payroll'!H25</f>
        <v>527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320</v>
      </c>
      <c r="I41" s="268">
        <f t="shared" si="6"/>
        <v>82.34375</v>
      </c>
      <c r="J41" s="268">
        <f t="shared" si="6"/>
        <v>0</v>
      </c>
      <c r="K41" s="268">
        <f t="shared" si="6"/>
        <v>0</v>
      </c>
      <c r="L41" s="268">
        <f t="shared" si="6"/>
        <v>52.699999999999996</v>
      </c>
      <c r="M41" s="268">
        <f t="shared" si="6"/>
        <v>164.69</v>
      </c>
      <c r="N41" s="268">
        <f t="shared" si="6"/>
        <v>527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430</v>
      </c>
      <c r="I44" s="263">
        <f t="shared" si="7"/>
        <v>82.34375</v>
      </c>
      <c r="J44" s="263">
        <f t="shared" si="7"/>
        <v>0</v>
      </c>
      <c r="K44" s="263">
        <f t="shared" si="7"/>
        <v>0</v>
      </c>
      <c r="L44" s="263">
        <f t="shared" si="7"/>
        <v>82.333653846153851</v>
      </c>
      <c r="M44" s="263">
        <f t="shared" si="7"/>
        <v>164.69</v>
      </c>
      <c r="N44" s="263">
        <f t="shared" si="7"/>
        <v>569.47490384615389</v>
      </c>
      <c r="O44" s="263">
        <f t="shared" si="7"/>
        <v>0</v>
      </c>
      <c r="P44" s="263">
        <f t="shared" si="7"/>
        <v>7686</v>
      </c>
      <c r="Q44" s="263">
        <f>SUM(B44:P44)</f>
        <v>69691.842307692306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9" t="s">
        <v>133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Q46" s="110"/>
      <c r="U46" s="109"/>
    </row>
    <row r="47" spans="1:22" s="105" customFormat="1">
      <c r="A47" s="449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69525.192500000005</v>
      </c>
      <c r="M48" s="263">
        <f>+I29+P36+P41-(O36+O41)+G36</f>
        <v>96419.386249999996</v>
      </c>
      <c r="N48" s="109">
        <f>+L48-M48</f>
        <v>-26894.193749999991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37583.590000000004</v>
      </c>
      <c r="M49" s="263">
        <f>+L49</f>
        <v>37583.590000000004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135.04374999999999</v>
      </c>
      <c r="M50" s="263">
        <f>+L50</f>
        <v>135.04374999999999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12104.7</v>
      </c>
      <c r="M51" s="263">
        <f>+L51</f>
        <v>12104.7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19701.858750000003</v>
      </c>
      <c r="M52" s="263">
        <f>+M48-M49-M50-M51</f>
        <v>46596.052499999991</v>
      </c>
      <c r="N52" s="109">
        <f>+L52-M52</f>
        <v>-26894.193749999988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M22" sqref="M21:M22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5" t="s">
        <v>289</v>
      </c>
    </row>
    <row r="3" spans="1:13">
      <c r="B3" t="s">
        <v>273</v>
      </c>
    </row>
    <row r="5" spans="1:13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279</v>
      </c>
    </row>
    <row r="15" spans="1:13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>
      <c r="B18" s="344" t="s">
        <v>277</v>
      </c>
      <c r="C18" s="342">
        <v>2.59</v>
      </c>
      <c r="D18" s="456" t="s">
        <v>283</v>
      </c>
      <c r="E18" s="457"/>
      <c r="G18" s="344" t="s">
        <v>277</v>
      </c>
      <c r="H18" s="351">
        <f>2+59/60</f>
        <v>2.9833333333333334</v>
      </c>
      <c r="I18" s="343"/>
    </row>
    <row r="19" spans="1:9">
      <c r="B19" s="341"/>
      <c r="C19" s="342"/>
      <c r="D19" s="456"/>
      <c r="E19" s="457"/>
      <c r="G19" s="341"/>
      <c r="H19" s="342"/>
      <c r="I19" s="343"/>
    </row>
    <row r="20" spans="1:9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>
      <c r="B22" s="337" t="s">
        <v>284</v>
      </c>
    </row>
    <row r="25" spans="1:9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opLeftCell="A54" workbookViewId="0">
      <selection activeCell="A67" sqref="A67:Q132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5" t="str">
        <f>'[2]11-25 payroll'!A1</f>
        <v>THE OLD SPAGHETTI HOUSE</v>
      </c>
      <c r="C2" s="436"/>
      <c r="D2" s="436"/>
      <c r="E2" s="436"/>
      <c r="F2" s="436"/>
      <c r="G2" s="436"/>
      <c r="H2" s="437"/>
      <c r="I2" s="178"/>
      <c r="J2" s="435" t="str">
        <f>'[2]11-25 payroll'!A1</f>
        <v>THE OLD SPAGHETTI HOUSE</v>
      </c>
      <c r="K2" s="436"/>
      <c r="L2" s="436"/>
      <c r="M2" s="436"/>
      <c r="N2" s="436"/>
      <c r="O2" s="436"/>
      <c r="P2" s="437"/>
    </row>
    <row r="3" spans="1:22" s="179" customFormat="1">
      <c r="A3" s="170"/>
      <c r="B3" s="438" t="str">
        <f>'[2]11-25 payroll'!D2</f>
        <v>VALERO</v>
      </c>
      <c r="C3" s="439"/>
      <c r="D3" s="439"/>
      <c r="E3" s="439"/>
      <c r="F3" s="439"/>
      <c r="G3" s="439"/>
      <c r="H3" s="440"/>
      <c r="I3" s="178"/>
      <c r="J3" s="438" t="str">
        <f>'[2]11-25 payroll'!D2</f>
        <v>VALERO</v>
      </c>
      <c r="K3" s="439"/>
      <c r="L3" s="439"/>
      <c r="M3" s="439"/>
      <c r="N3" s="439"/>
      <c r="O3" s="439"/>
      <c r="P3" s="440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1" t="s">
        <v>25</v>
      </c>
      <c r="C5" s="442"/>
      <c r="D5" s="442"/>
      <c r="E5" s="442"/>
      <c r="F5" s="442"/>
      <c r="G5" s="442"/>
      <c r="H5" s="443"/>
      <c r="I5" s="178"/>
      <c r="J5" s="441" t="s">
        <v>25</v>
      </c>
      <c r="K5" s="442"/>
      <c r="L5" s="442"/>
      <c r="M5" s="442"/>
      <c r="N5" s="442"/>
      <c r="O5" s="442"/>
      <c r="P5" s="443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4" t="str">
        <f>'[2]11-25 payroll'!B7</f>
        <v>Biarcal, Ronald Glenn</v>
      </c>
      <c r="E7" s="444"/>
      <c r="F7" s="444"/>
      <c r="G7" s="55"/>
      <c r="H7" s="194"/>
      <c r="I7" s="195"/>
      <c r="J7" s="192" t="s">
        <v>26</v>
      </c>
      <c r="K7" s="193" t="s">
        <v>27</v>
      </c>
      <c r="L7" s="444" t="str">
        <f>'[2]11-25 payroll'!B8</f>
        <v>Sanchez, Angelo</v>
      </c>
      <c r="M7" s="444"/>
      <c r="N7" s="444"/>
      <c r="O7" s="9"/>
      <c r="P7" s="194"/>
    </row>
    <row r="8" spans="1:22">
      <c r="B8" s="192" t="s">
        <v>28</v>
      </c>
      <c r="C8" s="193" t="s">
        <v>27</v>
      </c>
      <c r="D8" s="445">
        <v>527</v>
      </c>
      <c r="E8" s="445"/>
      <c r="F8" s="445"/>
      <c r="G8" s="55"/>
      <c r="H8" s="357"/>
      <c r="I8" s="195"/>
      <c r="J8" s="192" t="s">
        <v>28</v>
      </c>
      <c r="K8" s="193" t="s">
        <v>27</v>
      </c>
      <c r="L8" s="445">
        <v>527</v>
      </c>
      <c r="M8" s="445"/>
      <c r="N8" s="445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46" t="str">
        <f>'26-10 payroll'!D3</f>
        <v>Dec 26,2019-Jan 10,2020</v>
      </c>
      <c r="E9" s="446"/>
      <c r="F9" s="446"/>
      <c r="G9" s="55"/>
      <c r="H9" s="194"/>
      <c r="I9" s="195"/>
      <c r="J9" s="192" t="s">
        <v>29</v>
      </c>
      <c r="K9" s="193" t="s">
        <v>27</v>
      </c>
      <c r="L9" s="446" t="str">
        <f>'26-10 payroll'!D3</f>
        <v>Dec 26,2019-Jan 10,2020</v>
      </c>
      <c r="M9" s="446"/>
      <c r="N9" s="446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82.34375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110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293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293</v>
      </c>
      <c r="M16" s="205"/>
      <c r="N16" s="9">
        <f>'26-10 payroll'!W8</f>
        <v>164.69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1066.9375</v>
      </c>
      <c r="G17" s="55"/>
      <c r="H17" s="56">
        <f>SUM(F13:F17)</f>
        <v>1176.9375</v>
      </c>
      <c r="I17" s="195"/>
      <c r="J17" s="192"/>
      <c r="K17" s="193"/>
      <c r="L17" s="204" t="s">
        <v>99</v>
      </c>
      <c r="M17" s="205"/>
      <c r="N17" s="11">
        <f>'26-10 payroll'!V8+500</f>
        <v>513.17499999999995</v>
      </c>
      <c r="O17" s="9"/>
      <c r="P17" s="10">
        <f>SUM(N13:N17)</f>
        <v>870.20875000000001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299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299</v>
      </c>
      <c r="M22" s="205"/>
      <c r="N22" s="208">
        <f>'26-10 payroll'!E57</f>
        <v>0</v>
      </c>
      <c r="O22" s="9"/>
      <c r="P22" s="207"/>
    </row>
    <row r="23" spans="1:22">
      <c r="B23" s="192"/>
      <c r="C23" s="198"/>
      <c r="D23" s="206" t="s">
        <v>298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298</v>
      </c>
      <c r="M23" s="205"/>
      <c r="N23" s="9">
        <f>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31.5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-1519.46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6508.4775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5835.2987499999999</v>
      </c>
      <c r="R28" s="215"/>
      <c r="T28" s="216">
        <f>+H28-'[2]11-25 payroll'!S35</f>
        <v>740.872359375001</v>
      </c>
      <c r="U28" s="217"/>
      <c r="V28" s="218">
        <f>+P28-'[2]11-25 payroll'!S36</f>
        <v>-678.19920312500017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5" t="str">
        <f>'[2]11-25 payroll'!A1</f>
        <v>THE OLD SPAGHETTI HOUSE</v>
      </c>
      <c r="C35" s="436"/>
      <c r="D35" s="436"/>
      <c r="E35" s="436"/>
      <c r="F35" s="436"/>
      <c r="G35" s="436"/>
      <c r="H35" s="437"/>
      <c r="I35" s="178"/>
      <c r="J35" s="435" t="str">
        <f>'[2]11-25 payroll'!A1</f>
        <v>THE OLD SPAGHETTI HOUSE</v>
      </c>
      <c r="K35" s="436"/>
      <c r="L35" s="436"/>
      <c r="M35" s="436"/>
      <c r="N35" s="436"/>
      <c r="O35" s="436"/>
      <c r="P35" s="437"/>
    </row>
    <row r="36" spans="2:17">
      <c r="B36" s="438" t="str">
        <f>'[2]11-25 payroll'!D2</f>
        <v>VALERO</v>
      </c>
      <c r="C36" s="439"/>
      <c r="D36" s="439"/>
      <c r="E36" s="439"/>
      <c r="F36" s="439"/>
      <c r="G36" s="439"/>
      <c r="H36" s="440"/>
      <c r="I36" s="178"/>
      <c r="J36" s="438" t="str">
        <f>'[2]11-25 payroll'!D2</f>
        <v>VALERO</v>
      </c>
      <c r="K36" s="439"/>
      <c r="L36" s="439"/>
      <c r="M36" s="439"/>
      <c r="N36" s="439"/>
      <c r="O36" s="439"/>
      <c r="P36" s="440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1" t="s">
        <v>25</v>
      </c>
      <c r="C38" s="442"/>
      <c r="D38" s="442"/>
      <c r="E38" s="442"/>
      <c r="F38" s="442"/>
      <c r="G38" s="442"/>
      <c r="H38" s="443"/>
      <c r="I38" s="178"/>
      <c r="J38" s="441" t="s">
        <v>25</v>
      </c>
      <c r="K38" s="442"/>
      <c r="L38" s="442"/>
      <c r="M38" s="442"/>
      <c r="N38" s="442"/>
      <c r="O38" s="442"/>
      <c r="P38" s="443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4" t="str">
        <f>'[2]11-25 payroll'!B24</f>
        <v>Dino, Joyce</v>
      </c>
      <c r="E40" s="444"/>
      <c r="F40" s="444"/>
      <c r="G40" s="55"/>
      <c r="H40" s="194"/>
      <c r="I40" s="195"/>
      <c r="J40" s="192" t="s">
        <v>26</v>
      </c>
      <c r="K40" s="193" t="s">
        <v>27</v>
      </c>
      <c r="L40" s="447" t="str">
        <f>'[2]11-25 payroll'!B10</f>
        <v xml:space="preserve">Sosa, Anna Marie </v>
      </c>
      <c r="M40" s="444"/>
      <c r="N40" s="444"/>
      <c r="O40" s="9"/>
      <c r="P40" s="194"/>
    </row>
    <row r="41" spans="2:17">
      <c r="B41" s="192" t="s">
        <v>28</v>
      </c>
      <c r="C41" s="193" t="s">
        <v>27</v>
      </c>
      <c r="D41" s="445">
        <f>'[2]11-25 payroll'!E9</f>
        <v>790.23076923076928</v>
      </c>
      <c r="E41" s="445"/>
      <c r="F41" s="445"/>
      <c r="G41" s="55"/>
      <c r="H41" s="357"/>
      <c r="I41" s="195"/>
      <c r="J41" s="192" t="s">
        <v>28</v>
      </c>
      <c r="K41" s="193" t="s">
        <v>27</v>
      </c>
      <c r="L41" s="445">
        <v>527</v>
      </c>
      <c r="M41" s="445"/>
      <c r="N41" s="445"/>
      <c r="O41" s="9"/>
      <c r="P41" s="357"/>
    </row>
    <row r="42" spans="2:17">
      <c r="B42" s="192" t="s">
        <v>29</v>
      </c>
      <c r="C42" s="193" t="s">
        <v>27</v>
      </c>
      <c r="D42" s="446" t="str">
        <f>'26-10 payroll'!D3</f>
        <v>Dec 26,2019-Jan 10,2020</v>
      </c>
      <c r="E42" s="446"/>
      <c r="F42" s="446"/>
      <c r="G42" s="55"/>
      <c r="H42" s="194"/>
      <c r="I42" s="195"/>
      <c r="J42" s="192" t="s">
        <v>29</v>
      </c>
      <c r="K42" s="193" t="s">
        <v>27</v>
      </c>
      <c r="L42" s="446" t="s">
        <v>291</v>
      </c>
      <c r="M42" s="446"/>
      <c r="N42" s="446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8.5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9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v>82.34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100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293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293</v>
      </c>
      <c r="M49" s="205"/>
      <c r="N49" s="9">
        <f>'26-10 payroll'!W10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250+1000+49.39</f>
        <v>1299.3900000000001</v>
      </c>
      <c r="G50" s="55"/>
      <c r="H50" s="56">
        <f>SUM(F46:F50)</f>
        <v>1409.39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1236.0899999999999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298</v>
      </c>
      <c r="E55" s="205"/>
      <c r="F55" s="55">
        <f>'26-10 payroll'!H58</f>
        <v>0</v>
      </c>
      <c r="G55" s="55"/>
      <c r="H55" s="207"/>
      <c r="I55" s="195"/>
      <c r="J55" s="192"/>
      <c r="K55" s="198"/>
      <c r="L55" s="206" t="s">
        <v>298</v>
      </c>
      <c r="M55" s="205"/>
      <c r="N55" s="9">
        <f>'26-10 payroll'!H59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'26-10 payroll'!F58</f>
        <v>4500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121.5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payroll'!H24+'26-10 payroll'!F24</f>
        <v>42.47490384615385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527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-4642.4749038461541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-2064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7039.9150961538453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6023.09</v>
      </c>
      <c r="Q61" s="174"/>
      <c r="T61" s="216">
        <f>+H61-'[2]11-25 payroll'!S37</f>
        <v>-1767.4755975961543</v>
      </c>
      <c r="V61" s="237">
        <f>+P61-'[2]11-25 payroll'!S38</f>
        <v>170.5064989583334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5" t="str">
        <f>'[2]11-25 payroll'!A1</f>
        <v>THE OLD SPAGHETTI HOUSE</v>
      </c>
      <c r="C68" s="436"/>
      <c r="D68" s="436"/>
      <c r="E68" s="436"/>
      <c r="F68" s="436"/>
      <c r="G68" s="436"/>
      <c r="H68" s="437"/>
      <c r="I68" s="178"/>
      <c r="J68" s="435" t="str">
        <f>'[2]11-25 payroll'!A1</f>
        <v>THE OLD SPAGHETTI HOUSE</v>
      </c>
      <c r="K68" s="436"/>
      <c r="L68" s="436"/>
      <c r="M68" s="436"/>
      <c r="N68" s="436"/>
      <c r="O68" s="436"/>
      <c r="P68" s="437"/>
    </row>
    <row r="69" spans="2:17">
      <c r="B69" s="438" t="str">
        <f>'[2]11-25 payroll'!D2</f>
        <v>VALERO</v>
      </c>
      <c r="C69" s="439"/>
      <c r="D69" s="439"/>
      <c r="E69" s="439"/>
      <c r="F69" s="439"/>
      <c r="G69" s="439"/>
      <c r="H69" s="440"/>
      <c r="I69" s="178"/>
      <c r="J69" s="438" t="str">
        <f>'[2]11-25 payroll'!D2</f>
        <v>VALERO</v>
      </c>
      <c r="K69" s="439"/>
      <c r="L69" s="439"/>
      <c r="M69" s="439"/>
      <c r="N69" s="439"/>
      <c r="O69" s="439"/>
      <c r="P69" s="440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1" t="s">
        <v>25</v>
      </c>
      <c r="C71" s="442"/>
      <c r="D71" s="442"/>
      <c r="E71" s="442"/>
      <c r="F71" s="442"/>
      <c r="G71" s="442"/>
      <c r="H71" s="443"/>
      <c r="I71" s="178"/>
      <c r="J71" s="441" t="s">
        <v>25</v>
      </c>
      <c r="K71" s="442"/>
      <c r="L71" s="442"/>
      <c r="M71" s="442"/>
      <c r="N71" s="442"/>
      <c r="O71" s="442"/>
      <c r="P71" s="443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7" t="str">
        <f>'[2]11-25 payroll'!B11</f>
        <v>Briones, Christain Joy</v>
      </c>
      <c r="E73" s="444"/>
      <c r="F73" s="444"/>
      <c r="G73" s="55"/>
      <c r="H73" s="194"/>
      <c r="I73" s="195"/>
      <c r="J73" s="192" t="s">
        <v>26</v>
      </c>
      <c r="K73" s="193" t="s">
        <v>27</v>
      </c>
      <c r="L73" s="447" t="str">
        <f>'[2]11-25 payroll'!B12</f>
        <v>Cahilig,Benzen</v>
      </c>
      <c r="M73" s="444"/>
      <c r="N73" s="444"/>
      <c r="O73" s="9"/>
      <c r="P73" s="194"/>
    </row>
    <row r="74" spans="2:17">
      <c r="B74" s="192" t="s">
        <v>28</v>
      </c>
      <c r="C74" s="193" t="s">
        <v>27</v>
      </c>
      <c r="D74" s="445">
        <v>527</v>
      </c>
      <c r="E74" s="445"/>
      <c r="F74" s="445"/>
      <c r="G74" s="55"/>
      <c r="H74" s="357"/>
      <c r="I74" s="195"/>
      <c r="J74" s="192" t="s">
        <v>28</v>
      </c>
      <c r="K74" s="193" t="s">
        <v>27</v>
      </c>
      <c r="L74" s="445">
        <v>527</v>
      </c>
      <c r="M74" s="445"/>
      <c r="N74" s="445"/>
      <c r="O74" s="9"/>
      <c r="P74" s="357"/>
    </row>
    <row r="75" spans="2:17">
      <c r="B75" s="192" t="s">
        <v>29</v>
      </c>
      <c r="C75" s="193" t="s">
        <v>27</v>
      </c>
      <c r="D75" s="446" t="str">
        <f>'26-10 payroll'!D3</f>
        <v>Dec 26,2019-Jan 10,2020</v>
      </c>
      <c r="E75" s="446"/>
      <c r="F75" s="446"/>
      <c r="G75" s="55"/>
      <c r="H75" s="194"/>
      <c r="I75" s="195"/>
      <c r="J75" s="192" t="s">
        <v>29</v>
      </c>
      <c r="K75" s="193" t="s">
        <v>27</v>
      </c>
      <c r="L75" s="446" t="str">
        <f>'26-10 payroll'!D3</f>
        <v>Dec 26,2019-Jan 10,2020</v>
      </c>
      <c r="M75" s="446"/>
      <c r="N75" s="446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E77*D74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5797</v>
      </c>
      <c r="Q76" s="174"/>
    </row>
    <row r="77" spans="2:17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1054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1054</v>
      </c>
      <c r="O81" s="9"/>
      <c r="P81" s="10"/>
    </row>
    <row r="82" spans="1:22">
      <c r="B82" s="192"/>
      <c r="C82" s="193"/>
      <c r="D82" s="204" t="s">
        <v>294</v>
      </c>
      <c r="E82" s="205"/>
      <c r="F82" s="55">
        <v>0</v>
      </c>
      <c r="G82" s="55"/>
      <c r="H82" s="58"/>
      <c r="I82" s="195"/>
      <c r="J82" s="192"/>
      <c r="K82" s="193"/>
      <c r="L82" s="204" t="s">
        <v>294</v>
      </c>
      <c r="M82" s="205"/>
      <c r="N82" s="9">
        <f>'26-10 payroll'!W12</f>
        <v>247.03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</f>
        <v>46.112500000000004</v>
      </c>
      <c r="G83" s="55"/>
      <c r="H83" s="56">
        <f>SUM(F79:F83)</f>
        <v>1220.1125</v>
      </c>
      <c r="I83" s="195"/>
      <c r="J83" s="192"/>
      <c r="K83" s="193"/>
      <c r="L83" s="204" t="s">
        <v>99</v>
      </c>
      <c r="M83" s="205"/>
      <c r="N83" s="11">
        <f>'26-10 payroll'!V12</f>
        <v>6.5875000000000004</v>
      </c>
      <c r="O83" s="9"/>
      <c r="P83" s="56">
        <f>SUM(N79:N83)</f>
        <v>1437.6175000000001</v>
      </c>
      <c r="Q83" s="187"/>
    </row>
    <row r="84" spans="1:2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298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298</v>
      </c>
      <c r="M88" s="205"/>
      <c r="N88" s="359">
        <f>'26-10 payroll'!H61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payroll'!E61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payroll'!H26</f>
        <v>121.86875000000001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-221.86875000000001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-1100.4100000000001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6268.2437500000005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6134.2075000000004</v>
      </c>
      <c r="Q94" s="174"/>
      <c r="T94" s="216">
        <f>+H94-'[2]11-25 payroll'!S39</f>
        <v>1758.3455057291676</v>
      </c>
      <c r="V94" s="237">
        <f>+P94-'[2]11-25 payroll'!S40</f>
        <v>1307.9975000000013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5" t="str">
        <f>'[2]11-25 payroll'!A1</f>
        <v>THE OLD SPAGHETTI HOUSE</v>
      </c>
      <c r="C101" s="436"/>
      <c r="D101" s="436"/>
      <c r="E101" s="436"/>
      <c r="F101" s="436"/>
      <c r="G101" s="436"/>
      <c r="H101" s="437"/>
      <c r="I101" s="178"/>
      <c r="J101" s="435" t="str">
        <f>'[2]11-25 payroll'!A1</f>
        <v>THE OLD SPAGHETTI HOUSE</v>
      </c>
      <c r="K101" s="436"/>
      <c r="L101" s="436"/>
      <c r="M101" s="436"/>
      <c r="N101" s="436"/>
      <c r="O101" s="436"/>
      <c r="P101" s="437"/>
    </row>
    <row r="102" spans="2:17">
      <c r="B102" s="438" t="str">
        <f>'[2]11-25 payroll'!D2</f>
        <v>VALERO</v>
      </c>
      <c r="C102" s="439"/>
      <c r="D102" s="439"/>
      <c r="E102" s="439"/>
      <c r="F102" s="439"/>
      <c r="G102" s="439"/>
      <c r="H102" s="440"/>
      <c r="I102" s="178"/>
      <c r="J102" s="438" t="str">
        <f>'[2]11-25 payroll'!D2</f>
        <v>VALERO</v>
      </c>
      <c r="K102" s="439"/>
      <c r="L102" s="439"/>
      <c r="M102" s="439"/>
      <c r="N102" s="439"/>
      <c r="O102" s="439"/>
      <c r="P102" s="440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1" t="s">
        <v>25</v>
      </c>
      <c r="C104" s="442"/>
      <c r="D104" s="442"/>
      <c r="E104" s="442"/>
      <c r="F104" s="442"/>
      <c r="G104" s="442"/>
      <c r="H104" s="443"/>
      <c r="I104" s="178"/>
      <c r="J104" s="441" t="s">
        <v>25</v>
      </c>
      <c r="K104" s="442"/>
      <c r="L104" s="442"/>
      <c r="M104" s="442"/>
      <c r="N104" s="442"/>
      <c r="O104" s="442"/>
      <c r="P104" s="443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7" t="str">
        <f>'[2]11-25 payroll'!B13</f>
        <v>Pantoja,Nancy</v>
      </c>
      <c r="E106" s="444"/>
      <c r="F106" s="444"/>
      <c r="G106" s="55"/>
      <c r="H106" s="194"/>
      <c r="I106" s="195"/>
      <c r="J106" s="192" t="s">
        <v>26</v>
      </c>
      <c r="K106" s="193" t="s">
        <v>27</v>
      </c>
      <c r="L106" s="447">
        <f>'[2]11-25 payroll'!B29</f>
        <v>0</v>
      </c>
      <c r="M106" s="444"/>
      <c r="N106" s="444"/>
      <c r="O106" s="9"/>
      <c r="P106" s="194"/>
    </row>
    <row r="107" spans="2:17">
      <c r="B107" s="192" t="s">
        <v>28</v>
      </c>
      <c r="C107" s="193" t="s">
        <v>27</v>
      </c>
      <c r="D107" s="445">
        <v>527</v>
      </c>
      <c r="E107" s="445"/>
      <c r="F107" s="445"/>
      <c r="G107" s="55"/>
      <c r="H107" s="357"/>
      <c r="I107" s="195"/>
      <c r="J107" s="192" t="s">
        <v>28</v>
      </c>
      <c r="K107" s="193" t="s">
        <v>27</v>
      </c>
      <c r="L107" s="445">
        <f>'[2]11-25 payroll'!E14</f>
        <v>0</v>
      </c>
      <c r="M107" s="445"/>
      <c r="N107" s="445"/>
      <c r="O107" s="9"/>
      <c r="P107" s="357"/>
    </row>
    <row r="108" spans="2:17">
      <c r="B108" s="192" t="s">
        <v>29</v>
      </c>
      <c r="C108" s="193" t="s">
        <v>27</v>
      </c>
      <c r="D108" s="446" t="str">
        <f>'26-10 payroll'!D3</f>
        <v>Dec 26,2019-Jan 10,2020</v>
      </c>
      <c r="E108" s="446"/>
      <c r="F108" s="446"/>
      <c r="G108" s="55"/>
      <c r="H108" s="194"/>
      <c r="I108" s="195"/>
      <c r="J108" s="192" t="s">
        <v>29</v>
      </c>
      <c r="K108" s="193" t="s">
        <v>27</v>
      </c>
      <c r="L108" s="446" t="str">
        <f>'[2]11-25 payroll'!D3</f>
        <v>JULY  11 - 25, 2018</v>
      </c>
      <c r="M108" s="446"/>
      <c r="N108" s="446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payroll'!F13</f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1054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300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f>'26-10 payroll'!V13</f>
        <v>46.112500000000004</v>
      </c>
      <c r="G116" s="55"/>
      <c r="H116" s="56">
        <f>SUM(F112:F116)</f>
        <v>1230.1125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298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'26-10 payroll'!E62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-483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6544.1125000000002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1471.6325000000006</v>
      </c>
      <c r="V127" s="237">
        <f>+P127-'[2]11-25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5" t="s">
        <v>297</v>
      </c>
      <c r="C134" s="436"/>
      <c r="D134" s="436"/>
      <c r="E134" s="436"/>
      <c r="F134" s="436"/>
      <c r="G134" s="436"/>
      <c r="H134" s="437"/>
      <c r="I134" s="178"/>
      <c r="J134" s="435" t="s">
        <v>297</v>
      </c>
      <c r="K134" s="436"/>
      <c r="L134" s="436"/>
      <c r="M134" s="436"/>
      <c r="N134" s="436"/>
      <c r="O134" s="436"/>
      <c r="P134" s="437"/>
    </row>
    <row r="135" spans="2:17">
      <c r="B135" s="438" t="str">
        <f>'[2]11-25 payroll'!D2</f>
        <v>VALERO</v>
      </c>
      <c r="C135" s="439"/>
      <c r="D135" s="439"/>
      <c r="E135" s="439"/>
      <c r="F135" s="439"/>
      <c r="G135" s="439"/>
      <c r="H135" s="440"/>
      <c r="I135" s="178"/>
      <c r="J135" s="438" t="str">
        <f>'[2]11-25 payroll'!D2</f>
        <v>VALERO</v>
      </c>
      <c r="K135" s="439"/>
      <c r="L135" s="439"/>
      <c r="M135" s="439"/>
      <c r="N135" s="439"/>
      <c r="O135" s="439"/>
      <c r="P135" s="440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1" t="s">
        <v>25</v>
      </c>
      <c r="C137" s="442"/>
      <c r="D137" s="442"/>
      <c r="E137" s="442"/>
      <c r="F137" s="442"/>
      <c r="G137" s="442"/>
      <c r="H137" s="443"/>
      <c r="I137" s="178"/>
      <c r="J137" s="441" t="s">
        <v>25</v>
      </c>
      <c r="K137" s="442"/>
      <c r="L137" s="442"/>
      <c r="M137" s="442"/>
      <c r="N137" s="442"/>
      <c r="O137" s="442"/>
      <c r="P137" s="443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7" t="s">
        <v>295</v>
      </c>
      <c r="E139" s="444"/>
      <c r="F139" s="444"/>
      <c r="G139" s="55"/>
      <c r="H139" s="194"/>
      <c r="I139" s="195"/>
      <c r="J139" s="192" t="s">
        <v>26</v>
      </c>
      <c r="K139" s="193" t="s">
        <v>27</v>
      </c>
      <c r="L139" s="444" t="s">
        <v>295</v>
      </c>
      <c r="M139" s="444"/>
      <c r="N139" s="444"/>
      <c r="O139" s="9"/>
      <c r="P139" s="194"/>
    </row>
    <row r="140" spans="2:17">
      <c r="B140" s="192" t="s">
        <v>28</v>
      </c>
      <c r="C140" s="193" t="s">
        <v>27</v>
      </c>
      <c r="D140" s="445">
        <v>527</v>
      </c>
      <c r="E140" s="445"/>
      <c r="F140" s="445"/>
      <c r="G140" s="55"/>
      <c r="H140" s="357"/>
      <c r="I140" s="195"/>
      <c r="J140" s="192" t="s">
        <v>28</v>
      </c>
      <c r="K140" s="193" t="s">
        <v>27</v>
      </c>
      <c r="L140" s="445">
        <v>527</v>
      </c>
      <c r="M140" s="445"/>
      <c r="N140" s="445"/>
      <c r="O140" s="9"/>
      <c r="P140" s="357"/>
    </row>
    <row r="141" spans="2:17">
      <c r="B141" s="192" t="s">
        <v>29</v>
      </c>
      <c r="C141" s="193" t="s">
        <v>27</v>
      </c>
      <c r="D141" s="446" t="s">
        <v>292</v>
      </c>
      <c r="E141" s="446"/>
      <c r="F141" s="446"/>
      <c r="G141" s="55"/>
      <c r="H141" s="194"/>
      <c r="I141" s="195"/>
      <c r="J141" s="192" t="s">
        <v>29</v>
      </c>
      <c r="K141" s="193" t="s">
        <v>27</v>
      </c>
      <c r="L141" s="446" t="s">
        <v>296</v>
      </c>
      <c r="M141" s="446"/>
      <c r="N141" s="446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2019-12-13T01:56:43Z</cp:lastPrinted>
  <dcterms:created xsi:type="dcterms:W3CDTF">2010-01-04T12:18:59Z</dcterms:created>
  <dcterms:modified xsi:type="dcterms:W3CDTF">2020-01-10T13:15:49Z</dcterms:modified>
</cp:coreProperties>
</file>