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G:\2020\Payroll\Sept 2020\"/>
    </mc:Choice>
  </mc:AlternateContent>
  <bookViews>
    <workbookView xWindow="825" yWindow="1440" windowWidth="12510" windowHeight="8760" tabRatio="690" firstSheet="2" activeTab="2"/>
  </bookViews>
  <sheets>
    <sheet name="10.26-11.10" sheetId="76" state="hidden" r:id="rId1"/>
    <sheet name="10.26-11.10(SI)" sheetId="77" state="hidden" r:id="rId2"/>
    <sheet name="26-10 payroll" sheetId="20" r:id="rId3"/>
    <sheet name="26-10 payslip" sheetId="21" state="hidden" r:id="rId4"/>
    <sheet name="11-25 payroll" sheetId="63" state="hidden" r:id="rId5"/>
    <sheet name="11-25 payslip" sheetId="64" state="hidden" r:id="rId6"/>
    <sheet name="Contribution" sheetId="5" state="hidden" r:id="rId7"/>
    <sheet name="TIME CONVERSION" sheetId="78" r:id="rId8"/>
    <sheet name="Sheet1" sheetId="79" r:id="rId9"/>
  </sheets>
  <externalReferences>
    <externalReference r:id="rId10"/>
    <externalReference r:id="rId11"/>
  </externalReferences>
  <definedNames>
    <definedName name="_xlnm.Print_Area" localSheetId="4">'11-25 payroll'!$B$51:$P$71</definedName>
    <definedName name="_xlnm.Print_Area" localSheetId="5">'11-25 payslip'!$A$1:$Q$99</definedName>
    <definedName name="_xlnm.Print_Area" localSheetId="2">'26-10 payroll'!$A$1:$Y$76</definedName>
    <definedName name="_xlnm.Print_Area" localSheetId="3">'26-10 payslip'!$A$1:$Q$165</definedName>
    <definedName name="_xlnm.Print_Area" localSheetId="8">Sheet1!$J$68:$P$131</definedName>
    <definedName name="Z_2EF2580B_764A_44D6_8997_219DAE86C0B9_.wvu.Cols" localSheetId="5" hidden="1">'11-25 payslip'!$G:$G,'11-25 payslip'!$O:$O</definedName>
    <definedName name="Z_2EF2580B_764A_44D6_8997_219DAE86C0B9_.wvu.Cols" localSheetId="3" hidden="1">'26-10 payslip'!$G:$G,'26-10 payslip'!$O:$O</definedName>
    <definedName name="Z_2EF2580B_764A_44D6_8997_219DAE86C0B9_.wvu.Cols" localSheetId="6" hidden="1">Contribution!$C:$F</definedName>
    <definedName name="Z_2EF2580B_764A_44D6_8997_219DAE86C0B9_.wvu.PrintArea" localSheetId="5" hidden="1">'11-25 payslip'!$A$1:$Q$165</definedName>
    <definedName name="Z_2EF2580B_764A_44D6_8997_219DAE86C0B9_.wvu.PrintArea" localSheetId="3" hidden="1">'26-10 payslip'!$A$1:$Q$165</definedName>
    <definedName name="Z_2EF2580B_764A_44D6_8997_219DAE86C0B9_.wvu.Rows" localSheetId="6" hidden="1">Contribution!$1:$10</definedName>
  </definedNames>
  <calcPr calcId="152511"/>
  <customWorkbookViews>
    <customWorkbookView name="Rjhay - Personal View" guid="{2EF2580B-764A-44D6-8997-219DAE86C0B9}" mergeInterval="0" personalView="1" maximized="1" xWindow="1" yWindow="1" windowWidth="1366" windowHeight="538" tabRatio="481" activeSheetId="3"/>
  </customWorkbookViews>
</workbook>
</file>

<file path=xl/calcChain.xml><?xml version="1.0" encoding="utf-8"?>
<calcChain xmlns="http://schemas.openxmlformats.org/spreadsheetml/2006/main">
  <c r="M56" i="20" l="1"/>
  <c r="H10" i="20"/>
  <c r="G10" i="20"/>
  <c r="Q38" i="20"/>
  <c r="Q37" i="20"/>
  <c r="Q36" i="20"/>
  <c r="Q35" i="20"/>
  <c r="R38" i="20"/>
  <c r="G8" i="20" l="1"/>
  <c r="P10" i="79" s="1"/>
  <c r="R35" i="20" l="1"/>
  <c r="F17" i="79" s="1"/>
  <c r="G7" i="20"/>
  <c r="N9" i="20" l="1"/>
  <c r="N12" i="20"/>
  <c r="N65" i="20" l="1"/>
  <c r="M58" i="20"/>
  <c r="J56" i="20"/>
  <c r="K56" i="20"/>
  <c r="L56" i="20"/>
  <c r="J57" i="20"/>
  <c r="K57" i="20"/>
  <c r="L57" i="20"/>
  <c r="M57" i="20" s="1"/>
  <c r="J58" i="20"/>
  <c r="K58" i="20"/>
  <c r="L58" i="20"/>
  <c r="J59" i="20"/>
  <c r="K59" i="20"/>
  <c r="L59" i="20"/>
  <c r="M59" i="20" s="1"/>
  <c r="J60" i="20"/>
  <c r="K60" i="20"/>
  <c r="L60" i="20"/>
  <c r="S44" i="20"/>
  <c r="R44" i="20"/>
  <c r="R43" i="20"/>
  <c r="R42" i="20"/>
  <c r="R41" i="20"/>
  <c r="R40" i="20"/>
  <c r="R39" i="20"/>
  <c r="R37" i="20"/>
  <c r="F50" i="79" s="1"/>
  <c r="R36" i="20"/>
  <c r="N17" i="79" s="1"/>
  <c r="O38" i="20"/>
  <c r="O37" i="20"/>
  <c r="O36" i="20"/>
  <c r="O35" i="20"/>
  <c r="P38" i="20"/>
  <c r="P35" i="20"/>
  <c r="G9" i="20"/>
  <c r="H43" i="79" s="1"/>
  <c r="G15" i="20"/>
  <c r="M110" i="79"/>
  <c r="L108" i="79"/>
  <c r="L106" i="79"/>
  <c r="N13" i="20"/>
  <c r="G14" i="20"/>
  <c r="P109" i="79" s="1"/>
  <c r="G12" i="20"/>
  <c r="P14" i="20"/>
  <c r="R14" i="20"/>
  <c r="T14" i="20"/>
  <c r="H14" i="20"/>
  <c r="N113" i="79" s="1"/>
  <c r="N50" i="79"/>
  <c r="X14" i="20" l="1"/>
  <c r="F122" i="79"/>
  <c r="N89" i="79"/>
  <c r="F89" i="79"/>
  <c r="N56" i="79"/>
  <c r="F55" i="79"/>
  <c r="N22" i="79"/>
  <c r="F22" i="79"/>
  <c r="F79" i="79"/>
  <c r="F49" i="79" l="1"/>
  <c r="G13" i="20" l="1"/>
  <c r="H13" i="20"/>
  <c r="D9" i="79"/>
  <c r="F56" i="79"/>
  <c r="K13" i="20" l="1"/>
  <c r="H27" i="20"/>
  <c r="H26" i="20"/>
  <c r="N26" i="79" l="1"/>
  <c r="N57" i="79"/>
  <c r="P142" i="79" l="1"/>
  <c r="H142" i="79"/>
  <c r="N49" i="79"/>
  <c r="N16" i="79"/>
  <c r="F16" i="79"/>
  <c r="F126" i="79" l="1"/>
  <c r="F125" i="79"/>
  <c r="F123" i="79"/>
  <c r="F121" i="79"/>
  <c r="F120" i="79"/>
  <c r="F119" i="79"/>
  <c r="F118" i="79"/>
  <c r="E110" i="79"/>
  <c r="H109" i="79" s="1"/>
  <c r="N93" i="79"/>
  <c r="N92" i="79"/>
  <c r="N90" i="79" l="1"/>
  <c r="N88" i="79"/>
  <c r="N87" i="79"/>
  <c r="N86" i="79"/>
  <c r="N85" i="79"/>
  <c r="M77" i="79"/>
  <c r="F93" i="79"/>
  <c r="F92" i="79"/>
  <c r="F90" i="79"/>
  <c r="F88" i="79"/>
  <c r="F86" i="79"/>
  <c r="F85" i="79"/>
  <c r="E77" i="79"/>
  <c r="H76" i="79" s="1"/>
  <c r="N60" i="79"/>
  <c r="N59" i="79"/>
  <c r="N55" i="79"/>
  <c r="N53" i="79"/>
  <c r="M44" i="79"/>
  <c r="F60" i="79"/>
  <c r="F59" i="79"/>
  <c r="F57" i="79"/>
  <c r="F53" i="79"/>
  <c r="F52" i="79"/>
  <c r="E44" i="79"/>
  <c r="N27" i="79"/>
  <c r="N24" i="79"/>
  <c r="N23" i="79"/>
  <c r="N20" i="79"/>
  <c r="M11" i="79"/>
  <c r="F27" i="79"/>
  <c r="F26" i="79"/>
  <c r="F24" i="79"/>
  <c r="F23" i="79"/>
  <c r="F20" i="79"/>
  <c r="D108" i="79" l="1"/>
  <c r="L75" i="79"/>
  <c r="D75" i="79"/>
  <c r="D42" i="79"/>
  <c r="L9" i="79"/>
  <c r="E11" i="79"/>
  <c r="T10" i="20" l="1"/>
  <c r="H25" i="20"/>
  <c r="H9" i="20"/>
  <c r="F47" i="79" s="1"/>
  <c r="O9" i="20"/>
  <c r="H23" i="20"/>
  <c r="N25" i="79" s="1"/>
  <c r="O8" i="20"/>
  <c r="T8" i="20"/>
  <c r="F23" i="20"/>
  <c r="O13" i="20"/>
  <c r="H109" i="21"/>
  <c r="F113" i="79"/>
  <c r="F116" i="79"/>
  <c r="H28" i="20"/>
  <c r="F124" i="79" s="1"/>
  <c r="O12" i="20"/>
  <c r="P12" i="20" s="1"/>
  <c r="N79" i="79" s="1"/>
  <c r="P76" i="21"/>
  <c r="H12" i="20"/>
  <c r="N80" i="79" s="1"/>
  <c r="N83" i="79"/>
  <c r="N91" i="79"/>
  <c r="H11" i="20"/>
  <c r="T11" i="20"/>
  <c r="F82" i="21" s="1"/>
  <c r="G11" i="20"/>
  <c r="H76" i="21" s="1"/>
  <c r="F83" i="79"/>
  <c r="F91" i="79"/>
  <c r="M7" i="20"/>
  <c r="S7" i="20"/>
  <c r="T7" i="20" s="1"/>
  <c r="F22" i="20"/>
  <c r="N145" i="79"/>
  <c r="N148" i="79"/>
  <c r="N149" i="79"/>
  <c r="N154" i="79"/>
  <c r="N157" i="79"/>
  <c r="N159" i="79"/>
  <c r="F145" i="79"/>
  <c r="F147" i="79"/>
  <c r="F148" i="79"/>
  <c r="F149" i="79"/>
  <c r="F151" i="79"/>
  <c r="F153" i="79"/>
  <c r="F154" i="79"/>
  <c r="F156" i="79"/>
  <c r="F157" i="79"/>
  <c r="J135" i="79"/>
  <c r="B135" i="79"/>
  <c r="N112" i="79"/>
  <c r="N114" i="79"/>
  <c r="N115" i="79"/>
  <c r="N116" i="79"/>
  <c r="N118" i="79"/>
  <c r="N119" i="79"/>
  <c r="N120" i="79"/>
  <c r="N121" i="79"/>
  <c r="N122" i="79"/>
  <c r="N123" i="79"/>
  <c r="N124" i="79"/>
  <c r="N125" i="79"/>
  <c r="N126" i="79"/>
  <c r="D106" i="79"/>
  <c r="J102" i="79"/>
  <c r="B102" i="79"/>
  <c r="J101" i="79"/>
  <c r="B101" i="79"/>
  <c r="P76" i="79"/>
  <c r="L73" i="79"/>
  <c r="D73" i="79"/>
  <c r="J69" i="79"/>
  <c r="B69" i="79"/>
  <c r="J68" i="79"/>
  <c r="B68" i="79"/>
  <c r="N48" i="79"/>
  <c r="F48" i="79"/>
  <c r="D41" i="79"/>
  <c r="L40" i="79"/>
  <c r="D40" i="79"/>
  <c r="J36" i="79"/>
  <c r="B36" i="79"/>
  <c r="J35" i="79"/>
  <c r="B35" i="79"/>
  <c r="N15" i="79"/>
  <c r="F13" i="79"/>
  <c r="F15" i="79"/>
  <c r="L7" i="79"/>
  <c r="D7" i="79"/>
  <c r="J3" i="79"/>
  <c r="B3" i="79"/>
  <c r="J2" i="79"/>
  <c r="B2" i="79"/>
  <c r="C20" i="78"/>
  <c r="H18" i="78"/>
  <c r="H20" i="78" s="1"/>
  <c r="C10" i="78"/>
  <c r="H8" i="78"/>
  <c r="H10" i="78" s="1"/>
  <c r="O22" i="63"/>
  <c r="Q18" i="5" s="1"/>
  <c r="O25" i="63"/>
  <c r="Q21" i="5" s="1"/>
  <c r="O26" i="63"/>
  <c r="Q22" i="5" s="1"/>
  <c r="O27" i="63"/>
  <c r="Q23" i="5" s="1"/>
  <c r="O28" i="63"/>
  <c r="Q24" i="5" s="1"/>
  <c r="O29" i="63"/>
  <c r="Q25" i="5" s="1"/>
  <c r="O30" i="63"/>
  <c r="Q26" i="5" s="1"/>
  <c r="O31" i="63"/>
  <c r="Q27" i="5" s="1"/>
  <c r="Q19" i="5"/>
  <c r="Q20" i="5"/>
  <c r="O34" i="5"/>
  <c r="O36" i="5" s="1"/>
  <c r="O37" i="5"/>
  <c r="O38" i="5"/>
  <c r="O39" i="5"/>
  <c r="G34" i="5"/>
  <c r="G36" i="5" s="1"/>
  <c r="J25" i="63"/>
  <c r="J21" i="5" s="1"/>
  <c r="J22" i="63"/>
  <c r="J18" i="5" s="1"/>
  <c r="J23" i="63"/>
  <c r="J19" i="5" s="1"/>
  <c r="M21" i="5"/>
  <c r="N21" i="5" s="1"/>
  <c r="M18" i="5"/>
  <c r="N18" i="5" s="1"/>
  <c r="M19" i="5"/>
  <c r="N19" i="5" s="1"/>
  <c r="O21" i="5"/>
  <c r="P21" i="5" s="1"/>
  <c r="O18" i="5"/>
  <c r="O19" i="5"/>
  <c r="J24" i="63"/>
  <c r="J20" i="5" s="1"/>
  <c r="J26" i="63"/>
  <c r="J22" i="5" s="1"/>
  <c r="J27" i="63"/>
  <c r="J23" i="5" s="1"/>
  <c r="J28" i="63"/>
  <c r="J24" i="5" s="1"/>
  <c r="J29" i="63"/>
  <c r="J25" i="5" s="1"/>
  <c r="J30" i="63"/>
  <c r="J26" i="5" s="1"/>
  <c r="J31" i="63"/>
  <c r="J27" i="5" s="1"/>
  <c r="L27" i="63"/>
  <c r="M23" i="5" s="1"/>
  <c r="L28" i="63"/>
  <c r="M24" i="5" s="1"/>
  <c r="N24" i="5" s="1"/>
  <c r="L29" i="63"/>
  <c r="M25" i="5" s="1"/>
  <c r="N25" i="5" s="1"/>
  <c r="L30" i="63"/>
  <c r="M26" i="5" s="1"/>
  <c r="N26" i="5" s="1"/>
  <c r="L31" i="63"/>
  <c r="M27" i="5" s="1"/>
  <c r="N27" i="5" s="1"/>
  <c r="M20" i="5"/>
  <c r="N20" i="5" s="1"/>
  <c r="M22" i="5"/>
  <c r="N22" i="5" s="1"/>
  <c r="O20" i="5"/>
  <c r="P20" i="5" s="1"/>
  <c r="O22" i="5"/>
  <c r="O23" i="5"/>
  <c r="P23" i="5" s="1"/>
  <c r="O24" i="5"/>
  <c r="P24" i="5" s="1"/>
  <c r="O25" i="5"/>
  <c r="P25" i="5" s="1"/>
  <c r="O26" i="5"/>
  <c r="P26" i="5" s="1"/>
  <c r="O27" i="5"/>
  <c r="P27" i="5" s="1"/>
  <c r="M34" i="5"/>
  <c r="M36" i="5" s="1"/>
  <c r="C41" i="5"/>
  <c r="C36" i="5"/>
  <c r="D41" i="5"/>
  <c r="D36" i="5"/>
  <c r="E41" i="5"/>
  <c r="E36" i="5"/>
  <c r="F41" i="5"/>
  <c r="F36" i="5"/>
  <c r="M37" i="5"/>
  <c r="M38" i="5"/>
  <c r="M39" i="5"/>
  <c r="G37" i="5"/>
  <c r="G38" i="5"/>
  <c r="G39" i="5"/>
  <c r="A39" i="5"/>
  <c r="A38" i="5"/>
  <c r="A37" i="5"/>
  <c r="A34" i="5"/>
  <c r="P18" i="5"/>
  <c r="P19" i="5"/>
  <c r="P22" i="5"/>
  <c r="K18" i="5"/>
  <c r="K19" i="5"/>
  <c r="K20" i="5"/>
  <c r="K21" i="5"/>
  <c r="K22" i="5"/>
  <c r="K23" i="5"/>
  <c r="K24" i="5"/>
  <c r="K25" i="5"/>
  <c r="K26" i="5"/>
  <c r="K27" i="5"/>
  <c r="L18" i="5"/>
  <c r="L19" i="5"/>
  <c r="L20" i="5"/>
  <c r="L21" i="5"/>
  <c r="L22" i="5"/>
  <c r="L23" i="5"/>
  <c r="L24" i="5"/>
  <c r="L25" i="5"/>
  <c r="L26" i="5"/>
  <c r="L27" i="5"/>
  <c r="U18" i="5"/>
  <c r="U21" i="5"/>
  <c r="U19" i="5"/>
  <c r="U20" i="5"/>
  <c r="U22" i="5"/>
  <c r="U23" i="5"/>
  <c r="U24" i="5"/>
  <c r="U25" i="5"/>
  <c r="U26" i="5"/>
  <c r="U27" i="5"/>
  <c r="T18" i="5"/>
  <c r="T19" i="5"/>
  <c r="T20" i="5"/>
  <c r="T21" i="5"/>
  <c r="T22" i="5"/>
  <c r="T23" i="5"/>
  <c r="T24" i="5"/>
  <c r="T25" i="5"/>
  <c r="T26" i="5"/>
  <c r="T27" i="5"/>
  <c r="S18" i="5"/>
  <c r="S19" i="5"/>
  <c r="S22" i="5"/>
  <c r="S23" i="5"/>
  <c r="S24" i="5"/>
  <c r="S25" i="5"/>
  <c r="S26" i="5"/>
  <c r="S27" i="5"/>
  <c r="R19" i="5"/>
  <c r="R20" i="5"/>
  <c r="R21" i="5"/>
  <c r="R22" i="5"/>
  <c r="R23" i="5"/>
  <c r="R24" i="5"/>
  <c r="R25" i="5"/>
  <c r="R26" i="5"/>
  <c r="R27" i="5"/>
  <c r="A27" i="5"/>
  <c r="A26" i="5"/>
  <c r="A25" i="5"/>
  <c r="A24" i="5"/>
  <c r="A23" i="5"/>
  <c r="A22" i="5"/>
  <c r="B10" i="63"/>
  <c r="A21" i="5" s="1"/>
  <c r="B9" i="63"/>
  <c r="A20" i="5" s="1"/>
  <c r="A19" i="5"/>
  <c r="B7" i="63"/>
  <c r="A15" i="5"/>
  <c r="A14" i="5"/>
  <c r="D2" i="63"/>
  <c r="A11" i="5" s="1"/>
  <c r="P142" i="64"/>
  <c r="N145" i="64"/>
  <c r="N146" i="64"/>
  <c r="N147" i="64"/>
  <c r="N148" i="64"/>
  <c r="N149" i="64"/>
  <c r="N151" i="64"/>
  <c r="N152" i="64"/>
  <c r="N153" i="64"/>
  <c r="N154" i="64"/>
  <c r="N155" i="64"/>
  <c r="N156" i="64"/>
  <c r="N157" i="64"/>
  <c r="N158" i="64"/>
  <c r="N159" i="64"/>
  <c r="F152" i="64"/>
  <c r="F155" i="64"/>
  <c r="F156" i="64"/>
  <c r="F158" i="64"/>
  <c r="F159" i="64"/>
  <c r="M143" i="64"/>
  <c r="E143" i="64"/>
  <c r="L142" i="64"/>
  <c r="L141" i="64"/>
  <c r="D141" i="64"/>
  <c r="L140" i="64"/>
  <c r="L139" i="64"/>
  <c r="D139" i="64"/>
  <c r="J134" i="64"/>
  <c r="B134" i="64"/>
  <c r="N120" i="64"/>
  <c r="N119" i="64"/>
  <c r="N122" i="64"/>
  <c r="N123" i="64"/>
  <c r="N125" i="64"/>
  <c r="N126" i="64"/>
  <c r="F119" i="64"/>
  <c r="F122" i="64"/>
  <c r="F123" i="64"/>
  <c r="F125" i="64"/>
  <c r="F126" i="64"/>
  <c r="F113" i="64"/>
  <c r="M110" i="64"/>
  <c r="E110" i="64"/>
  <c r="L108" i="64"/>
  <c r="D108" i="64"/>
  <c r="L107" i="64"/>
  <c r="D106" i="64"/>
  <c r="J101" i="64"/>
  <c r="B101" i="64"/>
  <c r="N86" i="64"/>
  <c r="N89" i="64"/>
  <c r="N90" i="64"/>
  <c r="N92" i="64"/>
  <c r="N93" i="64"/>
  <c r="P76" i="64"/>
  <c r="N79" i="64"/>
  <c r="N81" i="64"/>
  <c r="F86" i="64"/>
  <c r="F87" i="64"/>
  <c r="F89" i="64"/>
  <c r="F90" i="64"/>
  <c r="F92" i="64"/>
  <c r="F93" i="64"/>
  <c r="M77" i="64"/>
  <c r="E77" i="64"/>
  <c r="L75" i="64"/>
  <c r="D75" i="64"/>
  <c r="L73" i="64"/>
  <c r="D73" i="64"/>
  <c r="J68" i="64"/>
  <c r="B68" i="64"/>
  <c r="N55" i="64"/>
  <c r="N53" i="64"/>
  <c r="N54" i="64"/>
  <c r="N57" i="64"/>
  <c r="N59" i="64"/>
  <c r="N60" i="64"/>
  <c r="F53" i="64"/>
  <c r="F54" i="64"/>
  <c r="F55" i="64"/>
  <c r="F56" i="64"/>
  <c r="F57" i="64"/>
  <c r="F59" i="64"/>
  <c r="F60" i="64"/>
  <c r="H43" i="64"/>
  <c r="M44" i="64"/>
  <c r="E44" i="64"/>
  <c r="L42" i="64"/>
  <c r="D42" i="64"/>
  <c r="B24" i="63"/>
  <c r="J35" i="64"/>
  <c r="B35" i="64"/>
  <c r="N20" i="64"/>
  <c r="N21" i="64"/>
  <c r="N22" i="64"/>
  <c r="N23" i="64"/>
  <c r="N24" i="64"/>
  <c r="N26" i="64"/>
  <c r="N27" i="64"/>
  <c r="F20" i="64"/>
  <c r="F21" i="64"/>
  <c r="F24" i="64"/>
  <c r="F26" i="64"/>
  <c r="F27" i="64"/>
  <c r="F14" i="64"/>
  <c r="F15" i="64"/>
  <c r="M11" i="64"/>
  <c r="E11" i="64"/>
  <c r="L9" i="64"/>
  <c r="D9" i="64"/>
  <c r="L7" i="64"/>
  <c r="J2" i="64"/>
  <c r="B2" i="64"/>
  <c r="I67" i="63"/>
  <c r="G67" i="63"/>
  <c r="F67" i="63"/>
  <c r="E67" i="63"/>
  <c r="B65" i="63"/>
  <c r="C64" i="63"/>
  <c r="C63" i="63"/>
  <c r="B61" i="63"/>
  <c r="M60" i="63"/>
  <c r="K60" i="63"/>
  <c r="C60" i="63"/>
  <c r="B60" i="63"/>
  <c r="M59" i="63"/>
  <c r="L59" i="63"/>
  <c r="H59" i="63"/>
  <c r="S21" i="5" s="1"/>
  <c r="C10" i="63"/>
  <c r="C25" i="63" s="1"/>
  <c r="C59" i="63" s="1"/>
  <c r="M58" i="63"/>
  <c r="K58" i="63"/>
  <c r="H58" i="63"/>
  <c r="S20" i="5" s="1"/>
  <c r="C9" i="63"/>
  <c r="C24" i="63" s="1"/>
  <c r="C58" i="63" s="1"/>
  <c r="M57" i="63"/>
  <c r="L57" i="63"/>
  <c r="K57" i="63"/>
  <c r="B57" i="63"/>
  <c r="M56" i="63"/>
  <c r="K56" i="63"/>
  <c r="H56" i="63"/>
  <c r="F23" i="64" s="1"/>
  <c r="C7" i="63"/>
  <c r="C22" i="63" s="1"/>
  <c r="C56" i="63" s="1"/>
  <c r="M44" i="63"/>
  <c r="M43" i="63"/>
  <c r="M40" i="63"/>
  <c r="P39" i="63"/>
  <c r="L60" i="63" s="1"/>
  <c r="M39" i="63"/>
  <c r="P38" i="63"/>
  <c r="O38" i="63"/>
  <c r="K59" i="63" s="1"/>
  <c r="P37" i="63"/>
  <c r="L58" i="63" s="1"/>
  <c r="O37" i="63"/>
  <c r="P36" i="63"/>
  <c r="M36" i="63"/>
  <c r="P35" i="63"/>
  <c r="L56" i="63" s="1"/>
  <c r="O35" i="63"/>
  <c r="N33" i="63"/>
  <c r="M33" i="63"/>
  <c r="K33" i="63"/>
  <c r="I33" i="63"/>
  <c r="E33" i="63"/>
  <c r="F31" i="63"/>
  <c r="C31" i="63"/>
  <c r="C65" i="63" s="1"/>
  <c r="B31" i="63"/>
  <c r="C30" i="63"/>
  <c r="B30" i="63"/>
  <c r="B64" i="63" s="1"/>
  <c r="H29" i="63"/>
  <c r="C29" i="63"/>
  <c r="B29" i="63"/>
  <c r="L106" i="64" s="1"/>
  <c r="C28" i="63"/>
  <c r="C62" i="63" s="1"/>
  <c r="B28" i="63"/>
  <c r="B62" i="63" s="1"/>
  <c r="F27" i="63"/>
  <c r="C27" i="63"/>
  <c r="C61" i="63" s="1"/>
  <c r="B27" i="63"/>
  <c r="C26" i="63"/>
  <c r="B26" i="63"/>
  <c r="C23" i="63"/>
  <c r="C57" i="63" s="1"/>
  <c r="B23" i="63"/>
  <c r="K22" i="63"/>
  <c r="R18" i="5" s="1"/>
  <c r="H22" i="63"/>
  <c r="R21" i="63"/>
  <c r="I18" i="63"/>
  <c r="X17" i="63"/>
  <c r="R16" i="63"/>
  <c r="H16" i="63"/>
  <c r="G16" i="63"/>
  <c r="E16" i="63"/>
  <c r="P16" i="63" s="1"/>
  <c r="H15" i="63"/>
  <c r="F146" i="64" s="1"/>
  <c r="G15" i="63"/>
  <c r="E15" i="63"/>
  <c r="R14" i="63"/>
  <c r="N114" i="64" s="1"/>
  <c r="H14" i="63"/>
  <c r="N113" i="64" s="1"/>
  <c r="G14" i="63"/>
  <c r="E14" i="63"/>
  <c r="P14" i="63" s="1"/>
  <c r="N112" i="64" s="1"/>
  <c r="H13" i="63"/>
  <c r="G13" i="63"/>
  <c r="E13" i="63"/>
  <c r="R12" i="63"/>
  <c r="H12" i="63"/>
  <c r="N80" i="64" s="1"/>
  <c r="G12" i="63"/>
  <c r="E12" i="63"/>
  <c r="P12" i="63" s="1"/>
  <c r="H11" i="63"/>
  <c r="F80" i="64" s="1"/>
  <c r="G11" i="63"/>
  <c r="E11" i="63"/>
  <c r="D11" i="63"/>
  <c r="H10" i="63"/>
  <c r="N47" i="64" s="1"/>
  <c r="D10" i="63"/>
  <c r="E10" i="63" s="1"/>
  <c r="I9" i="63"/>
  <c r="H9" i="63"/>
  <c r="F47" i="64" s="1"/>
  <c r="G9" i="63"/>
  <c r="E9" i="63"/>
  <c r="T9" i="63" s="1"/>
  <c r="F49" i="64" s="1"/>
  <c r="D9" i="63"/>
  <c r="R8" i="63"/>
  <c r="N15" i="64" s="1"/>
  <c r="H8" i="63"/>
  <c r="N14" i="64" s="1"/>
  <c r="G8" i="63"/>
  <c r="E8" i="63"/>
  <c r="P8" i="63" s="1"/>
  <c r="N13" i="64" s="1"/>
  <c r="D8" i="63"/>
  <c r="P7" i="63"/>
  <c r="F13" i="64" s="1"/>
  <c r="H7" i="63"/>
  <c r="H18" i="63" s="1"/>
  <c r="D7" i="63"/>
  <c r="E7" i="63" s="1"/>
  <c r="R7" i="63" s="1"/>
  <c r="P142" i="21"/>
  <c r="N145" i="21"/>
  <c r="N146" i="21"/>
  <c r="N147" i="21"/>
  <c r="N148" i="21"/>
  <c r="N149" i="21"/>
  <c r="N151" i="21"/>
  <c r="N152" i="21"/>
  <c r="N153" i="21"/>
  <c r="N154" i="21"/>
  <c r="N155" i="21"/>
  <c r="N156" i="21"/>
  <c r="N157" i="21"/>
  <c r="N158" i="21"/>
  <c r="N159" i="21"/>
  <c r="F151" i="21"/>
  <c r="F152" i="21"/>
  <c r="F153" i="21"/>
  <c r="F154" i="21"/>
  <c r="F155" i="21"/>
  <c r="F156" i="21"/>
  <c r="F158" i="21"/>
  <c r="F159" i="21"/>
  <c r="M143" i="21"/>
  <c r="E143" i="21"/>
  <c r="L142" i="21"/>
  <c r="L141" i="21"/>
  <c r="D141" i="21"/>
  <c r="L140" i="21"/>
  <c r="L139" i="21"/>
  <c r="D139" i="21"/>
  <c r="J135" i="21"/>
  <c r="B135" i="21"/>
  <c r="J134" i="21"/>
  <c r="B134" i="21"/>
  <c r="N118" i="21"/>
  <c r="N119" i="21"/>
  <c r="N120" i="21"/>
  <c r="N121" i="21"/>
  <c r="N122" i="21"/>
  <c r="N123" i="21"/>
  <c r="N125" i="21"/>
  <c r="N126" i="21"/>
  <c r="F116" i="21"/>
  <c r="F118" i="21"/>
  <c r="F119" i="21"/>
  <c r="F120" i="21"/>
  <c r="F121" i="21"/>
  <c r="F122" i="21"/>
  <c r="F123" i="21"/>
  <c r="F125" i="21"/>
  <c r="F126" i="21"/>
  <c r="M110" i="21"/>
  <c r="E110" i="21"/>
  <c r="L108" i="21"/>
  <c r="D108" i="21"/>
  <c r="D107" i="21"/>
  <c r="D106" i="21"/>
  <c r="J102" i="21"/>
  <c r="B102" i="21"/>
  <c r="J101" i="21"/>
  <c r="B101" i="21"/>
  <c r="N85" i="21"/>
  <c r="N86" i="21"/>
  <c r="N87" i="21"/>
  <c r="N88" i="21"/>
  <c r="N89" i="21"/>
  <c r="N90" i="21"/>
  <c r="N92" i="21"/>
  <c r="N93" i="21"/>
  <c r="F85" i="21"/>
  <c r="F86" i="21"/>
  <c r="F87" i="21"/>
  <c r="F88" i="21"/>
  <c r="F89" i="21"/>
  <c r="F90" i="21"/>
  <c r="F92" i="21"/>
  <c r="F93" i="21"/>
  <c r="M77" i="21"/>
  <c r="E77" i="21"/>
  <c r="L75" i="21"/>
  <c r="D75" i="21"/>
  <c r="L74" i="21"/>
  <c r="D74" i="21"/>
  <c r="L73" i="21"/>
  <c r="D73" i="21"/>
  <c r="J69" i="21"/>
  <c r="B69" i="21"/>
  <c r="J68" i="21"/>
  <c r="B68" i="21"/>
  <c r="N59" i="21"/>
  <c r="N52" i="21"/>
  <c r="N53" i="21"/>
  <c r="N54" i="21"/>
  <c r="N55" i="21"/>
  <c r="N56" i="21"/>
  <c r="N57" i="21"/>
  <c r="N60" i="21"/>
  <c r="N49" i="21"/>
  <c r="F52" i="21"/>
  <c r="F53" i="21"/>
  <c r="F54" i="21"/>
  <c r="F55" i="21"/>
  <c r="F56" i="21"/>
  <c r="F57" i="21"/>
  <c r="F59" i="21"/>
  <c r="F60" i="21"/>
  <c r="M44" i="21"/>
  <c r="E44" i="21"/>
  <c r="L42" i="21"/>
  <c r="D42" i="21"/>
  <c r="L41" i="21"/>
  <c r="L40" i="21"/>
  <c r="J36" i="21"/>
  <c r="B36" i="21"/>
  <c r="J35" i="21"/>
  <c r="B35" i="21"/>
  <c r="N19" i="21"/>
  <c r="N20" i="21"/>
  <c r="N21" i="21"/>
  <c r="N22" i="21"/>
  <c r="N23" i="21"/>
  <c r="N24" i="21"/>
  <c r="N26" i="21"/>
  <c r="N27" i="21"/>
  <c r="F26" i="21"/>
  <c r="F19" i="21"/>
  <c r="F20" i="21"/>
  <c r="F21" i="21"/>
  <c r="F22" i="21"/>
  <c r="F23" i="21"/>
  <c r="F24" i="21"/>
  <c r="F27" i="21"/>
  <c r="H10" i="21"/>
  <c r="M11" i="21"/>
  <c r="E11" i="21"/>
  <c r="L9" i="21"/>
  <c r="D9" i="21"/>
  <c r="L8" i="21"/>
  <c r="D8" i="21"/>
  <c r="L7" i="21"/>
  <c r="D7" i="21"/>
  <c r="J3" i="21"/>
  <c r="B3" i="21"/>
  <c r="J2" i="21"/>
  <c r="B2" i="21"/>
  <c r="H67" i="20"/>
  <c r="G67" i="20"/>
  <c r="F67" i="20"/>
  <c r="E67" i="20"/>
  <c r="D67" i="20"/>
  <c r="C57" i="20"/>
  <c r="O33" i="20"/>
  <c r="N33" i="20"/>
  <c r="M33" i="20"/>
  <c r="L33" i="20"/>
  <c r="K33" i="20"/>
  <c r="J33" i="20"/>
  <c r="I33" i="20"/>
  <c r="E33" i="20"/>
  <c r="C31" i="20"/>
  <c r="C65" i="20" s="1"/>
  <c r="B31" i="20"/>
  <c r="B65" i="20" s="1"/>
  <c r="C30" i="20"/>
  <c r="C64" i="20" s="1"/>
  <c r="B30" i="20"/>
  <c r="B64" i="20" s="1"/>
  <c r="C29" i="20"/>
  <c r="C63" i="20" s="1"/>
  <c r="B29" i="20"/>
  <c r="L106" i="21" s="1"/>
  <c r="F28" i="20"/>
  <c r="C28" i="20"/>
  <c r="C62" i="20" s="1"/>
  <c r="B28" i="20"/>
  <c r="B62" i="20" s="1"/>
  <c r="F27" i="20"/>
  <c r="N91" i="21" s="1"/>
  <c r="C27" i="20"/>
  <c r="C61" i="20" s="1"/>
  <c r="B27" i="20"/>
  <c r="B61" i="20" s="1"/>
  <c r="F26" i="20"/>
  <c r="C26" i="20"/>
  <c r="C60" i="20" s="1"/>
  <c r="B26" i="20"/>
  <c r="B60" i="20" s="1"/>
  <c r="F25" i="20"/>
  <c r="C25" i="20"/>
  <c r="C59" i="20" s="1"/>
  <c r="B25" i="20"/>
  <c r="M38" i="20" s="1"/>
  <c r="C24" i="20"/>
  <c r="C58" i="20" s="1"/>
  <c r="B24" i="20"/>
  <c r="D40" i="21" s="1"/>
  <c r="C23" i="20"/>
  <c r="B23" i="20"/>
  <c r="B57" i="20" s="1"/>
  <c r="H22" i="20"/>
  <c r="F25" i="79" s="1"/>
  <c r="C22" i="20"/>
  <c r="C56" i="20" s="1"/>
  <c r="B22" i="20"/>
  <c r="B56" i="20" s="1"/>
  <c r="R21" i="20"/>
  <c r="I18" i="20"/>
  <c r="X17" i="20"/>
  <c r="H16" i="20"/>
  <c r="G16" i="20"/>
  <c r="E16" i="20"/>
  <c r="H31" i="20" s="1"/>
  <c r="H15" i="20"/>
  <c r="F146" i="21" s="1"/>
  <c r="H142" i="21"/>
  <c r="E15" i="20"/>
  <c r="D140" i="21" s="1"/>
  <c r="N113" i="21"/>
  <c r="P109" i="21"/>
  <c r="N116" i="21"/>
  <c r="T13" i="20"/>
  <c r="F115" i="21" s="1"/>
  <c r="R13" i="20"/>
  <c r="F114" i="79" s="1"/>
  <c r="L13" i="20"/>
  <c r="T12" i="20"/>
  <c r="R12" i="20"/>
  <c r="N81" i="79" s="1"/>
  <c r="L12" i="20"/>
  <c r="R11" i="20"/>
  <c r="F81" i="79" s="1"/>
  <c r="R10" i="20"/>
  <c r="D9" i="20"/>
  <c r="H43" i="21" s="1"/>
  <c r="R8" i="20"/>
  <c r="N15" i="21" s="1"/>
  <c r="P10" i="21"/>
  <c r="R7" i="20"/>
  <c r="F15" i="21" s="1"/>
  <c r="X68" i="77"/>
  <c r="W68" i="77"/>
  <c r="V68" i="77"/>
  <c r="U68" i="77"/>
  <c r="T68" i="77"/>
  <c r="S68" i="77"/>
  <c r="R68" i="77"/>
  <c r="Q68" i="77"/>
  <c r="P68" i="77"/>
  <c r="O68" i="77"/>
  <c r="N68" i="77"/>
  <c r="L68" i="77"/>
  <c r="K68" i="77"/>
  <c r="J68" i="77"/>
  <c r="I68" i="77"/>
  <c r="H68" i="77"/>
  <c r="M59" i="77"/>
  <c r="M68" i="77" s="1"/>
  <c r="X48" i="77"/>
  <c r="W48" i="77"/>
  <c r="V48" i="77"/>
  <c r="U48" i="77"/>
  <c r="T48" i="77"/>
  <c r="S48" i="77"/>
  <c r="R48" i="77"/>
  <c r="Q48" i="77"/>
  <c r="P48" i="77"/>
  <c r="O48" i="77"/>
  <c r="N48" i="77"/>
  <c r="L48" i="77"/>
  <c r="K48" i="77"/>
  <c r="J48" i="77"/>
  <c r="I48" i="77"/>
  <c r="H48" i="77"/>
  <c r="M44" i="77"/>
  <c r="M43" i="77"/>
  <c r="M40" i="77"/>
  <c r="M48" i="77" s="1"/>
  <c r="M39" i="77"/>
  <c r="M33" i="77"/>
  <c r="M32" i="77"/>
  <c r="X28" i="77"/>
  <c r="W28" i="77"/>
  <c r="V28" i="77"/>
  <c r="U28" i="77"/>
  <c r="T28" i="77"/>
  <c r="S28" i="77"/>
  <c r="R28" i="77"/>
  <c r="Q28" i="77"/>
  <c r="O11" i="20" s="1"/>
  <c r="P28" i="77"/>
  <c r="N11" i="20" s="1"/>
  <c r="O28" i="77"/>
  <c r="N28" i="77"/>
  <c r="M28" i="77"/>
  <c r="L28" i="77"/>
  <c r="K28" i="77"/>
  <c r="J28" i="77"/>
  <c r="I28" i="77"/>
  <c r="K11" i="20" s="1"/>
  <c r="H28" i="77"/>
  <c r="M13" i="77"/>
  <c r="M11" i="77"/>
  <c r="X304" i="76"/>
  <c r="W304" i="76"/>
  <c r="V304" i="76"/>
  <c r="U304" i="76"/>
  <c r="T304" i="76"/>
  <c r="S304" i="76"/>
  <c r="R304" i="76"/>
  <c r="Q304" i="76"/>
  <c r="P304" i="76"/>
  <c r="O304" i="76"/>
  <c r="N304" i="76"/>
  <c r="M304" i="76"/>
  <c r="L304" i="76"/>
  <c r="K304" i="76"/>
  <c r="J304" i="76"/>
  <c r="I304" i="76"/>
  <c r="H304" i="76"/>
  <c r="X277" i="76"/>
  <c r="W277" i="76"/>
  <c r="V277" i="76"/>
  <c r="U277" i="76"/>
  <c r="T277" i="76"/>
  <c r="S277" i="76"/>
  <c r="R277" i="76"/>
  <c r="Q277" i="76"/>
  <c r="P277" i="76"/>
  <c r="O277" i="76"/>
  <c r="N277" i="76"/>
  <c r="M277" i="76"/>
  <c r="L277" i="76"/>
  <c r="K277" i="76"/>
  <c r="J277" i="76"/>
  <c r="I277" i="76"/>
  <c r="H277" i="76"/>
  <c r="X250" i="76"/>
  <c r="W250" i="76"/>
  <c r="V250" i="76"/>
  <c r="U250" i="76"/>
  <c r="T250" i="76"/>
  <c r="S250" i="76"/>
  <c r="R250" i="76"/>
  <c r="Q250" i="76"/>
  <c r="O10" i="20" s="1"/>
  <c r="P250" i="76"/>
  <c r="N10" i="20" s="1"/>
  <c r="O250" i="76"/>
  <c r="N250" i="76"/>
  <c r="M250" i="76"/>
  <c r="L250" i="76"/>
  <c r="K250" i="76"/>
  <c r="J250" i="76"/>
  <c r="I250" i="76"/>
  <c r="H250" i="76"/>
  <c r="X229" i="76"/>
  <c r="W229" i="76"/>
  <c r="V229" i="76"/>
  <c r="U229" i="76"/>
  <c r="T229" i="76"/>
  <c r="S229" i="76"/>
  <c r="R229" i="76"/>
  <c r="Q229" i="76"/>
  <c r="P229" i="76"/>
  <c r="O229" i="76"/>
  <c r="N229" i="76"/>
  <c r="M229" i="76"/>
  <c r="L229" i="76"/>
  <c r="K229" i="76"/>
  <c r="J229" i="76"/>
  <c r="L8" i="20" s="1"/>
  <c r="I229" i="76"/>
  <c r="K8" i="20" s="1"/>
  <c r="H229" i="76"/>
  <c r="X201" i="76"/>
  <c r="W201" i="76"/>
  <c r="V201" i="76"/>
  <c r="U201" i="76"/>
  <c r="T201" i="76"/>
  <c r="S201" i="76"/>
  <c r="R201" i="76"/>
  <c r="Q201" i="76"/>
  <c r="P201" i="76"/>
  <c r="O201" i="76"/>
  <c r="N201" i="76"/>
  <c r="L201" i="76"/>
  <c r="K201" i="76"/>
  <c r="J201" i="76"/>
  <c r="I201" i="76"/>
  <c r="H201" i="76"/>
  <c r="M197" i="76"/>
  <c r="M192" i="76"/>
  <c r="M201" i="76" s="1"/>
  <c r="X173" i="76"/>
  <c r="W173" i="76"/>
  <c r="V173" i="76"/>
  <c r="U173" i="76"/>
  <c r="T173" i="76"/>
  <c r="S173" i="76"/>
  <c r="R173" i="76"/>
  <c r="Q173" i="76"/>
  <c r="P173" i="76"/>
  <c r="O173" i="76"/>
  <c r="N173" i="76"/>
  <c r="L173" i="76"/>
  <c r="K173" i="76"/>
  <c r="J173" i="76"/>
  <c r="I173" i="76"/>
  <c r="H173" i="76"/>
  <c r="M169" i="76"/>
  <c r="M168" i="76"/>
  <c r="M156" i="76"/>
  <c r="M173" i="76" s="1"/>
  <c r="X146" i="76"/>
  <c r="W146" i="76"/>
  <c r="V146" i="76"/>
  <c r="U146" i="76"/>
  <c r="T146" i="76"/>
  <c r="S146" i="76"/>
  <c r="R146" i="76"/>
  <c r="Q146" i="76"/>
  <c r="P146" i="76"/>
  <c r="O146" i="76"/>
  <c r="N146" i="76"/>
  <c r="M146" i="76"/>
  <c r="L146" i="76"/>
  <c r="K146" i="76"/>
  <c r="J146" i="76"/>
  <c r="I146" i="76"/>
  <c r="H146" i="76"/>
  <c r="X119" i="76"/>
  <c r="W119" i="76"/>
  <c r="V119" i="76"/>
  <c r="U119" i="76"/>
  <c r="T119" i="76"/>
  <c r="S119" i="76"/>
  <c r="R119" i="76"/>
  <c r="Q119" i="76"/>
  <c r="P119" i="76"/>
  <c r="O119" i="76"/>
  <c r="N119" i="76"/>
  <c r="L119" i="76"/>
  <c r="K119" i="76"/>
  <c r="J119" i="76"/>
  <c r="I119" i="76"/>
  <c r="H119" i="76"/>
  <c r="M114" i="76"/>
  <c r="M111" i="76"/>
  <c r="M110" i="76"/>
  <c r="M103" i="76"/>
  <c r="M102" i="76"/>
  <c r="X98" i="76"/>
  <c r="W98" i="76"/>
  <c r="V98" i="76"/>
  <c r="U98" i="76"/>
  <c r="T98" i="76"/>
  <c r="S98" i="76"/>
  <c r="R98" i="76"/>
  <c r="Q98" i="76"/>
  <c r="P98" i="76"/>
  <c r="O98" i="76"/>
  <c r="N98" i="76"/>
  <c r="M98" i="76"/>
  <c r="L98" i="76"/>
  <c r="K98" i="76"/>
  <c r="J98" i="76"/>
  <c r="I98" i="76"/>
  <c r="H98" i="76"/>
  <c r="M90" i="76"/>
  <c r="X71" i="76"/>
  <c r="W71" i="76"/>
  <c r="S9" i="20" s="1"/>
  <c r="V71" i="76"/>
  <c r="U71" i="76"/>
  <c r="T71" i="76"/>
  <c r="S71" i="76"/>
  <c r="R71" i="76"/>
  <c r="Q71" i="76"/>
  <c r="P71" i="76"/>
  <c r="O71" i="76"/>
  <c r="N71" i="76"/>
  <c r="M71" i="76"/>
  <c r="L71" i="76"/>
  <c r="K71" i="76"/>
  <c r="J71" i="76"/>
  <c r="I71" i="76"/>
  <c r="H71" i="76"/>
  <c r="X51" i="76"/>
  <c r="W51" i="76"/>
  <c r="V51" i="76"/>
  <c r="U51" i="76"/>
  <c r="T51" i="76"/>
  <c r="S51" i="76"/>
  <c r="R51" i="76"/>
  <c r="Q51" i="76"/>
  <c r="P51" i="76"/>
  <c r="O51" i="76"/>
  <c r="N51" i="76"/>
  <c r="L51" i="76"/>
  <c r="K51" i="76"/>
  <c r="J51" i="76"/>
  <c r="I51" i="76"/>
  <c r="H51" i="76"/>
  <c r="M46" i="76"/>
  <c r="M51" i="76" s="1"/>
  <c r="X25" i="76"/>
  <c r="W25" i="76"/>
  <c r="V25" i="76"/>
  <c r="U25" i="76"/>
  <c r="T25" i="76"/>
  <c r="S25" i="76"/>
  <c r="R25" i="76"/>
  <c r="Q25" i="76"/>
  <c r="O7" i="20" s="1"/>
  <c r="P25" i="76"/>
  <c r="N7" i="20" s="1"/>
  <c r="O25" i="76"/>
  <c r="N25" i="76"/>
  <c r="M25" i="76"/>
  <c r="L25" i="76"/>
  <c r="K25" i="76"/>
  <c r="J25" i="76"/>
  <c r="I25" i="76"/>
  <c r="K7" i="20" s="1"/>
  <c r="H7" i="20" s="1"/>
  <c r="H25" i="76"/>
  <c r="F47" i="21" l="1"/>
  <c r="H30" i="20"/>
  <c r="P15" i="20"/>
  <c r="F145" i="21" s="1"/>
  <c r="P9" i="63"/>
  <c r="F46" i="64" s="1"/>
  <c r="L41" i="64"/>
  <c r="R10" i="63"/>
  <c r="N48" i="64" s="1"/>
  <c r="P50" i="64" s="1"/>
  <c r="T10" i="63"/>
  <c r="N49" i="64" s="1"/>
  <c r="H26" i="63"/>
  <c r="P11" i="63"/>
  <c r="F79" i="64" s="1"/>
  <c r="T11" i="63"/>
  <c r="F82" i="64" s="1"/>
  <c r="H28" i="63"/>
  <c r="P13" i="63"/>
  <c r="T13" i="63"/>
  <c r="F115" i="64" s="1"/>
  <c r="D140" i="64"/>
  <c r="H30" i="63"/>
  <c r="P15" i="63"/>
  <c r="F145" i="64" s="1"/>
  <c r="H149" i="64" s="1"/>
  <c r="T15" i="63"/>
  <c r="F148" i="64" s="1"/>
  <c r="F24" i="63"/>
  <c r="F58" i="64" s="1"/>
  <c r="H25" i="63"/>
  <c r="D107" i="64"/>
  <c r="K37" i="5"/>
  <c r="K38" i="5"/>
  <c r="F14" i="21"/>
  <c r="H37" i="5"/>
  <c r="P34" i="5"/>
  <c r="P36" i="5" s="1"/>
  <c r="N16" i="21"/>
  <c r="T7" i="63"/>
  <c r="T8" i="63"/>
  <c r="N16" i="64" s="1"/>
  <c r="R9" i="63"/>
  <c r="F48" i="64" s="1"/>
  <c r="H50" i="64" s="1"/>
  <c r="G10" i="63"/>
  <c r="V10" i="63"/>
  <c r="N50" i="64" s="1"/>
  <c r="V11" i="63"/>
  <c r="F83" i="64" s="1"/>
  <c r="H109" i="64"/>
  <c r="V13" i="63"/>
  <c r="F116" i="64" s="1"/>
  <c r="H142" i="64"/>
  <c r="V15" i="63"/>
  <c r="F149" i="64" s="1"/>
  <c r="D18" i="63"/>
  <c r="P18" i="63"/>
  <c r="F23" i="63"/>
  <c r="H24" i="63"/>
  <c r="F26" i="63"/>
  <c r="F91" i="64" s="1"/>
  <c r="F30" i="63"/>
  <c r="F157" i="64" s="1"/>
  <c r="D8" i="64"/>
  <c r="J36" i="64"/>
  <c r="N56" i="64"/>
  <c r="M119" i="76"/>
  <c r="G7" i="63"/>
  <c r="V7" i="63"/>
  <c r="V8" i="63"/>
  <c r="N17" i="64" s="1"/>
  <c r="V9" i="63"/>
  <c r="F50" i="64" s="1"/>
  <c r="T12" i="63"/>
  <c r="N82" i="64" s="1"/>
  <c r="T14" i="63"/>
  <c r="N115" i="64" s="1"/>
  <c r="T16" i="63"/>
  <c r="X16" i="63" s="1"/>
  <c r="D31" i="63" s="1"/>
  <c r="E18" i="63"/>
  <c r="H23" i="63"/>
  <c r="H27" i="63"/>
  <c r="N91" i="64" s="1"/>
  <c r="H31" i="63"/>
  <c r="M42" i="63"/>
  <c r="L8" i="64"/>
  <c r="P10" i="64"/>
  <c r="D40" i="64"/>
  <c r="D37" i="63"/>
  <c r="D74" i="64"/>
  <c r="P10" i="63"/>
  <c r="N46" i="64" s="1"/>
  <c r="R11" i="63"/>
  <c r="F81" i="64" s="1"/>
  <c r="V12" i="63"/>
  <c r="N83" i="64" s="1"/>
  <c r="P83" i="64" s="1"/>
  <c r="R13" i="63"/>
  <c r="F114" i="64" s="1"/>
  <c r="P109" i="64"/>
  <c r="V14" i="63"/>
  <c r="N116" i="64" s="1"/>
  <c r="P116" i="64" s="1"/>
  <c r="R15" i="63"/>
  <c r="F147" i="64" s="1"/>
  <c r="V16" i="63"/>
  <c r="F22" i="63"/>
  <c r="F25" i="63"/>
  <c r="N58" i="64" s="1"/>
  <c r="F28" i="63"/>
  <c r="F124" i="64" s="1"/>
  <c r="F29" i="63"/>
  <c r="N124" i="64" s="1"/>
  <c r="B63" i="63"/>
  <c r="H67" i="63"/>
  <c r="J3" i="64"/>
  <c r="D41" i="64"/>
  <c r="J69" i="64"/>
  <c r="L74" i="64"/>
  <c r="H76" i="64"/>
  <c r="A18" i="5"/>
  <c r="B22" i="63"/>
  <c r="B56" i="63" s="1"/>
  <c r="N80" i="21"/>
  <c r="M41" i="63"/>
  <c r="F19" i="64"/>
  <c r="N39" i="5"/>
  <c r="P9" i="20"/>
  <c r="P10" i="20"/>
  <c r="I39" i="5" s="1"/>
  <c r="O33" i="63"/>
  <c r="N88" i="64"/>
  <c r="X11" i="20"/>
  <c r="T15" i="20"/>
  <c r="F148" i="21" s="1"/>
  <c r="V16" i="20"/>
  <c r="M35" i="20"/>
  <c r="J102" i="64"/>
  <c r="J135" i="64"/>
  <c r="M43" i="20"/>
  <c r="B59" i="20"/>
  <c r="R16" i="20"/>
  <c r="H29" i="20"/>
  <c r="F31" i="20"/>
  <c r="M36" i="20"/>
  <c r="D37" i="20"/>
  <c r="M39" i="20"/>
  <c r="M41" i="20"/>
  <c r="E9" i="20"/>
  <c r="N112" i="21"/>
  <c r="N115" i="21"/>
  <c r="R15" i="20"/>
  <c r="F147" i="21" s="1"/>
  <c r="V15" i="20"/>
  <c r="F149" i="21" s="1"/>
  <c r="P16" i="20"/>
  <c r="R31" i="20" s="1"/>
  <c r="G27" i="5" s="1"/>
  <c r="T16" i="20"/>
  <c r="D18" i="20"/>
  <c r="F29" i="20"/>
  <c r="F30" i="20"/>
  <c r="F157" i="21" s="1"/>
  <c r="H159" i="21" s="1"/>
  <c r="A37" i="20"/>
  <c r="M37" i="20"/>
  <c r="M40" i="20"/>
  <c r="M42" i="20"/>
  <c r="M44" i="20"/>
  <c r="B58" i="20"/>
  <c r="B63" i="20"/>
  <c r="L107" i="21"/>
  <c r="B34" i="5"/>
  <c r="B36" i="5" s="1"/>
  <c r="T9" i="20"/>
  <c r="K34" i="5" s="1"/>
  <c r="K36" i="5" s="1"/>
  <c r="N114" i="21"/>
  <c r="B58" i="63"/>
  <c r="D7" i="64"/>
  <c r="F88" i="64"/>
  <c r="N85" i="64"/>
  <c r="F121" i="64"/>
  <c r="F154" i="64"/>
  <c r="N58" i="79"/>
  <c r="P60" i="79" s="1"/>
  <c r="F83" i="21"/>
  <c r="X12" i="20"/>
  <c r="D27" i="20" s="1"/>
  <c r="P13" i="20"/>
  <c r="F112" i="79" s="1"/>
  <c r="H116" i="79" s="1"/>
  <c r="P8" i="20"/>
  <c r="N13" i="79" s="1"/>
  <c r="F113" i="21"/>
  <c r="F124" i="21"/>
  <c r="H126" i="21" s="1"/>
  <c r="O29" i="5"/>
  <c r="O31" i="5" s="1"/>
  <c r="H8" i="20"/>
  <c r="N14" i="79" s="1"/>
  <c r="N83" i="21"/>
  <c r="N25" i="21"/>
  <c r="P27" i="21" s="1"/>
  <c r="P39" i="5"/>
  <c r="N47" i="79"/>
  <c r="O41" i="5"/>
  <c r="O44" i="5" s="1"/>
  <c r="M35" i="63"/>
  <c r="B3" i="64"/>
  <c r="B36" i="64"/>
  <c r="B69" i="64"/>
  <c r="B102" i="64"/>
  <c r="B135" i="64"/>
  <c r="E44" i="5"/>
  <c r="C44" i="5"/>
  <c r="N50" i="21"/>
  <c r="J33" i="63"/>
  <c r="L33" i="63"/>
  <c r="F22" i="64"/>
  <c r="F118" i="64"/>
  <c r="F151" i="64"/>
  <c r="L39" i="5"/>
  <c r="P29" i="5"/>
  <c r="R29" i="5"/>
  <c r="N52" i="64"/>
  <c r="P60" i="64" s="1"/>
  <c r="F120" i="64"/>
  <c r="L37" i="5"/>
  <c r="H17" i="79"/>
  <c r="N79" i="21"/>
  <c r="F80" i="21"/>
  <c r="F80" i="79"/>
  <c r="H39" i="5"/>
  <c r="N47" i="21"/>
  <c r="H83" i="64"/>
  <c r="T29" i="5"/>
  <c r="R26" i="20"/>
  <c r="G22" i="5" s="1"/>
  <c r="P17" i="64"/>
  <c r="F44" i="5"/>
  <c r="P7" i="20"/>
  <c r="F13" i="21" s="1"/>
  <c r="P149" i="79"/>
  <c r="P93" i="21"/>
  <c r="P159" i="21"/>
  <c r="P159" i="64"/>
  <c r="U29" i="5"/>
  <c r="G41" i="5"/>
  <c r="D44" i="5"/>
  <c r="P149" i="21"/>
  <c r="P149" i="64"/>
  <c r="S29" i="5"/>
  <c r="F16" i="21"/>
  <c r="M37" i="63"/>
  <c r="B25" i="63"/>
  <c r="L40" i="64"/>
  <c r="M41" i="5"/>
  <c r="M44" i="5" s="1"/>
  <c r="N38" i="5"/>
  <c r="N19" i="64"/>
  <c r="F52" i="64"/>
  <c r="F85" i="64"/>
  <c r="H93" i="64" s="1"/>
  <c r="N87" i="64"/>
  <c r="N121" i="64"/>
  <c r="N118" i="64"/>
  <c r="P43" i="21"/>
  <c r="G18" i="20"/>
  <c r="B38" i="5"/>
  <c r="N37" i="5"/>
  <c r="N82" i="21"/>
  <c r="F91" i="21"/>
  <c r="H93" i="21" s="1"/>
  <c r="N48" i="21"/>
  <c r="N58" i="21"/>
  <c r="P60" i="21" s="1"/>
  <c r="R25" i="20"/>
  <c r="G21" i="5" s="1"/>
  <c r="J38" i="5"/>
  <c r="F25" i="21"/>
  <c r="H27" i="21" s="1"/>
  <c r="J37" i="5"/>
  <c r="R22" i="20"/>
  <c r="G18" i="5" s="1"/>
  <c r="F114" i="21"/>
  <c r="R28" i="20"/>
  <c r="G24" i="5" s="1"/>
  <c r="N81" i="21"/>
  <c r="R27" i="20"/>
  <c r="G23" i="5" s="1"/>
  <c r="F81" i="21"/>
  <c r="H34" i="5"/>
  <c r="H36" i="5" s="1"/>
  <c r="L29" i="5"/>
  <c r="P159" i="79"/>
  <c r="P93" i="79"/>
  <c r="K29" i="5"/>
  <c r="H27" i="79"/>
  <c r="H126" i="79"/>
  <c r="P116" i="79"/>
  <c r="H149" i="79"/>
  <c r="P27" i="79"/>
  <c r="H93" i="79"/>
  <c r="P126" i="79"/>
  <c r="H159" i="79"/>
  <c r="K39" i="5"/>
  <c r="J29" i="5"/>
  <c r="M29" i="5"/>
  <c r="N23" i="5"/>
  <c r="N29" i="5" s="1"/>
  <c r="Q29" i="5"/>
  <c r="F153" i="64"/>
  <c r="R30" i="20" l="1"/>
  <c r="G26" i="5" s="1"/>
  <c r="J65" i="63"/>
  <c r="P31" i="63"/>
  <c r="S44" i="63" s="1"/>
  <c r="P93" i="64"/>
  <c r="P94" i="64" s="1"/>
  <c r="I26" i="5"/>
  <c r="I27" i="5"/>
  <c r="F33" i="63"/>
  <c r="B37" i="5"/>
  <c r="H10" i="64"/>
  <c r="G18" i="63"/>
  <c r="X7" i="63"/>
  <c r="R22" i="63"/>
  <c r="H18" i="5" s="1"/>
  <c r="R29" i="63"/>
  <c r="H25" i="5" s="1"/>
  <c r="H33" i="63"/>
  <c r="P27" i="64"/>
  <c r="P28" i="64" s="1"/>
  <c r="T18" i="20"/>
  <c r="I22" i="5"/>
  <c r="F49" i="21"/>
  <c r="R27" i="63"/>
  <c r="H23" i="5" s="1"/>
  <c r="X14" i="63"/>
  <c r="D29" i="63" s="1"/>
  <c r="X12" i="63"/>
  <c r="D27" i="63" s="1"/>
  <c r="R26" i="63"/>
  <c r="H22" i="5" s="1"/>
  <c r="F25" i="64"/>
  <c r="H27" i="64" s="1"/>
  <c r="X11" i="63"/>
  <c r="D26" i="63" s="1"/>
  <c r="X9" i="63"/>
  <c r="D24" i="63" s="1"/>
  <c r="K41" i="5"/>
  <c r="I23" i="5"/>
  <c r="I18" i="5"/>
  <c r="X16" i="20"/>
  <c r="D31" i="20" s="1"/>
  <c r="P31" i="20" s="1"/>
  <c r="V160" i="21" s="1"/>
  <c r="R31" i="63"/>
  <c r="H27" i="5" s="1"/>
  <c r="R24" i="63"/>
  <c r="H20" i="5" s="1"/>
  <c r="X8" i="63"/>
  <c r="D23" i="63" s="1"/>
  <c r="X13" i="63"/>
  <c r="D28" i="63" s="1"/>
  <c r="F16" i="64"/>
  <c r="T18" i="63"/>
  <c r="F112" i="64"/>
  <c r="H116" i="64" s="1"/>
  <c r="R28" i="63"/>
  <c r="H24" i="5" s="1"/>
  <c r="I24" i="5" s="1"/>
  <c r="L38" i="5"/>
  <c r="L41" i="5" s="1"/>
  <c r="J39" i="5"/>
  <c r="J41" i="5" s="1"/>
  <c r="H60" i="64"/>
  <c r="X15" i="20"/>
  <c r="D30" i="20" s="1"/>
  <c r="I64" i="20" s="1"/>
  <c r="N64" i="20" s="1"/>
  <c r="N124" i="21"/>
  <c r="P126" i="21" s="1"/>
  <c r="H149" i="21"/>
  <c r="H160" i="21" s="1"/>
  <c r="R23" i="63"/>
  <c r="H19" i="5" s="1"/>
  <c r="R30" i="63"/>
  <c r="H26" i="5" s="1"/>
  <c r="F17" i="64"/>
  <c r="V18" i="63"/>
  <c r="N25" i="64"/>
  <c r="X15" i="63"/>
  <c r="D30" i="63" s="1"/>
  <c r="P43" i="64"/>
  <c r="P61" i="64" s="1"/>
  <c r="B39" i="5"/>
  <c r="X10" i="63"/>
  <c r="D25" i="63" s="1"/>
  <c r="R25" i="63"/>
  <c r="H21" i="5" s="1"/>
  <c r="I21" i="5" s="1"/>
  <c r="R18" i="63"/>
  <c r="P127" i="79"/>
  <c r="V127" i="79" s="1"/>
  <c r="P116" i="21"/>
  <c r="R29" i="20"/>
  <c r="G25" i="5" s="1"/>
  <c r="H94" i="64"/>
  <c r="P160" i="21"/>
  <c r="X10" i="20"/>
  <c r="D25" i="20" s="1"/>
  <c r="P25" i="20" s="1"/>
  <c r="S38" i="20" s="1"/>
  <c r="N46" i="21"/>
  <c r="N46" i="79"/>
  <c r="F112" i="21"/>
  <c r="H116" i="21" s="1"/>
  <c r="H127" i="21" s="1"/>
  <c r="X13" i="20"/>
  <c r="D28" i="20" s="1"/>
  <c r="P28" i="20" s="1"/>
  <c r="S41" i="20" s="1"/>
  <c r="D29" i="20"/>
  <c r="P29" i="20" s="1"/>
  <c r="S42" i="20" s="1"/>
  <c r="N13" i="21"/>
  <c r="I38" i="5"/>
  <c r="H24" i="20"/>
  <c r="D41" i="21"/>
  <c r="R9" i="20"/>
  <c r="F24" i="20"/>
  <c r="E18" i="20"/>
  <c r="I65" i="20"/>
  <c r="F46" i="21"/>
  <c r="F46" i="79"/>
  <c r="H50" i="79" s="1"/>
  <c r="H61" i="64"/>
  <c r="H127" i="79"/>
  <c r="T127" i="79" s="1"/>
  <c r="P83" i="79"/>
  <c r="P94" i="79" s="1"/>
  <c r="V94" i="79" s="1"/>
  <c r="I34" i="5"/>
  <c r="I36" i="5" s="1"/>
  <c r="H18" i="20"/>
  <c r="H126" i="64"/>
  <c r="H127" i="64" s="1"/>
  <c r="R23" i="20"/>
  <c r="G19" i="5" s="1"/>
  <c r="I19" i="5" s="1"/>
  <c r="N14" i="21"/>
  <c r="H38" i="5"/>
  <c r="H41" i="5" s="1"/>
  <c r="H44" i="5" s="1"/>
  <c r="F17" i="21"/>
  <c r="H17" i="21" s="1"/>
  <c r="H28" i="21" s="1"/>
  <c r="P37" i="5"/>
  <c r="X8" i="20"/>
  <c r="D23" i="20" s="1"/>
  <c r="P23" i="20" s="1"/>
  <c r="S36" i="20" s="1"/>
  <c r="P160" i="64"/>
  <c r="P50" i="21"/>
  <c r="P61" i="21" s="1"/>
  <c r="P50" i="79"/>
  <c r="P61" i="79" s="1"/>
  <c r="V61" i="79" s="1"/>
  <c r="I61" i="20"/>
  <c r="N61" i="20" s="1"/>
  <c r="P27" i="20"/>
  <c r="S40" i="20" s="1"/>
  <c r="I37" i="5"/>
  <c r="I41" i="5" s="1"/>
  <c r="X7" i="20"/>
  <c r="D22" i="20" s="1"/>
  <c r="P18" i="20"/>
  <c r="D26" i="20"/>
  <c r="P126" i="64"/>
  <c r="P127" i="64" s="1"/>
  <c r="H159" i="64"/>
  <c r="H160" i="64" s="1"/>
  <c r="P17" i="79"/>
  <c r="P28" i="79" s="1"/>
  <c r="V28" i="79" s="1"/>
  <c r="F79" i="21"/>
  <c r="H83" i="21" s="1"/>
  <c r="H94" i="21" s="1"/>
  <c r="H83" i="79"/>
  <c r="H94" i="79" s="1"/>
  <c r="T94" i="79" s="1"/>
  <c r="H160" i="79"/>
  <c r="T160" i="79" s="1"/>
  <c r="P83" i="21"/>
  <c r="P94" i="21" s="1"/>
  <c r="I59" i="20"/>
  <c r="P160" i="79"/>
  <c r="V160" i="79" s="1"/>
  <c r="P38" i="5"/>
  <c r="N17" i="21"/>
  <c r="A37" i="63"/>
  <c r="B59" i="63"/>
  <c r="M38" i="63"/>
  <c r="N41" i="5"/>
  <c r="K44" i="5"/>
  <c r="K31" i="5"/>
  <c r="Q31" i="5"/>
  <c r="L54" i="5"/>
  <c r="L56" i="5" s="1"/>
  <c r="M31" i="5"/>
  <c r="B41" i="5" l="1"/>
  <c r="B44" i="5" s="1"/>
  <c r="N59" i="20"/>
  <c r="N57" i="20"/>
  <c r="P127" i="21"/>
  <c r="V127" i="21" s="1"/>
  <c r="P30" i="20"/>
  <c r="H28" i="64"/>
  <c r="P26" i="63"/>
  <c r="J60" i="63"/>
  <c r="O60" i="63" s="1"/>
  <c r="P29" i="63"/>
  <c r="J63" i="63"/>
  <c r="H17" i="64"/>
  <c r="D65" i="63"/>
  <c r="I25" i="5"/>
  <c r="J64" i="63"/>
  <c r="P30" i="63"/>
  <c r="P28" i="63"/>
  <c r="J62" i="63"/>
  <c r="H29" i="5"/>
  <c r="J59" i="63"/>
  <c r="O59" i="63" s="1"/>
  <c r="P25" i="63"/>
  <c r="P23" i="63"/>
  <c r="J57" i="63"/>
  <c r="O57" i="63" s="1"/>
  <c r="J58" i="63"/>
  <c r="O58" i="63" s="1"/>
  <c r="P24" i="63"/>
  <c r="J61" i="63"/>
  <c r="O61" i="63" s="1"/>
  <c r="P27" i="63"/>
  <c r="D22" i="63"/>
  <c r="X18" i="63"/>
  <c r="I63" i="20"/>
  <c r="N63" i="20" s="1"/>
  <c r="I62" i="20"/>
  <c r="N62" i="20" s="1"/>
  <c r="H33" i="20"/>
  <c r="H60" i="79"/>
  <c r="H61" i="79" s="1"/>
  <c r="T61" i="79" s="1"/>
  <c r="R24" i="20"/>
  <c r="G20" i="5" s="1"/>
  <c r="I20" i="5" s="1"/>
  <c r="X9" i="20"/>
  <c r="D24" i="20" s="1"/>
  <c r="D33" i="20" s="1"/>
  <c r="F58" i="21"/>
  <c r="H60" i="21" s="1"/>
  <c r="F33" i="20"/>
  <c r="N34" i="5"/>
  <c r="N36" i="5" s="1"/>
  <c r="N44" i="5" s="1"/>
  <c r="J34" i="5"/>
  <c r="F48" i="21"/>
  <c r="R18" i="20"/>
  <c r="P41" i="5"/>
  <c r="P44" i="5" s="1"/>
  <c r="L51" i="5" s="1"/>
  <c r="M51" i="5" s="1"/>
  <c r="N51" i="5" s="1"/>
  <c r="V18" i="20"/>
  <c r="L34" i="5"/>
  <c r="L36" i="5" s="1"/>
  <c r="L44" i="5" s="1"/>
  <c r="F50" i="21"/>
  <c r="V160" i="64"/>
  <c r="I44" i="5"/>
  <c r="P17" i="21"/>
  <c r="P28" i="21" s="1"/>
  <c r="I57" i="20"/>
  <c r="T127" i="21"/>
  <c r="I56" i="20"/>
  <c r="P22" i="20"/>
  <c r="H10" i="79" s="1"/>
  <c r="H28" i="79" s="1"/>
  <c r="T28" i="79" s="1"/>
  <c r="P26" i="20"/>
  <c r="S39" i="20" s="1"/>
  <c r="I60" i="20"/>
  <c r="N60" i="20" s="1"/>
  <c r="V94" i="21"/>
  <c r="V61" i="21"/>
  <c r="L50" i="5"/>
  <c r="L49" i="5" s="1"/>
  <c r="N56" i="20" l="1"/>
  <c r="S35" i="20"/>
  <c r="T28" i="21" s="1"/>
  <c r="S43" i="20"/>
  <c r="T160" i="21" s="1"/>
  <c r="D57" i="63"/>
  <c r="S36" i="63"/>
  <c r="V28" i="64" s="1"/>
  <c r="S37" i="63"/>
  <c r="T61" i="64" s="1"/>
  <c r="D58" i="63"/>
  <c r="S38" i="63"/>
  <c r="V61" i="64" s="1"/>
  <c r="D59" i="63"/>
  <c r="D62" i="63"/>
  <c r="S41" i="63"/>
  <c r="T127" i="64" s="1"/>
  <c r="D63" i="63"/>
  <c r="S42" i="63"/>
  <c r="V127" i="64" s="1"/>
  <c r="I29" i="5"/>
  <c r="M48" i="5" s="1"/>
  <c r="D33" i="63"/>
  <c r="J56" i="63"/>
  <c r="P22" i="63"/>
  <c r="S43" i="63"/>
  <c r="T160" i="64" s="1"/>
  <c r="D64" i="63"/>
  <c r="S40" i="63"/>
  <c r="V94" i="64" s="1"/>
  <c r="D61" i="63"/>
  <c r="D60" i="63"/>
  <c r="S39" i="63"/>
  <c r="T94" i="64" s="1"/>
  <c r="T94" i="21"/>
  <c r="G29" i="5"/>
  <c r="X18" i="20"/>
  <c r="P24" i="20"/>
  <c r="I58" i="20"/>
  <c r="H50" i="21"/>
  <c r="H61" i="21" s="1"/>
  <c r="J36" i="5"/>
  <c r="J44" i="5" s="1"/>
  <c r="Q44" i="5" s="1"/>
  <c r="L52" i="5"/>
  <c r="L48" i="5" s="1"/>
  <c r="V28" i="21"/>
  <c r="M50" i="5"/>
  <c r="N50" i="5" s="1"/>
  <c r="M49" i="5"/>
  <c r="N49" i="5" s="1"/>
  <c r="N58" i="20" l="1"/>
  <c r="S37" i="20"/>
  <c r="S46" i="20" s="1"/>
  <c r="N67" i="20"/>
  <c r="N48" i="5"/>
  <c r="D56" i="63"/>
  <c r="D67" i="63" s="1"/>
  <c r="P33" i="63"/>
  <c r="P46" i="63" s="1"/>
  <c r="S35" i="63"/>
  <c r="T28" i="64" s="1"/>
  <c r="O56" i="63"/>
  <c r="O67" i="63" s="1"/>
  <c r="J67" i="63"/>
  <c r="P33" i="20"/>
  <c r="I67" i="20"/>
  <c r="M52" i="5"/>
  <c r="N52" i="5" s="1"/>
  <c r="T61" i="21" l="1"/>
</calcChain>
</file>

<file path=xl/comments1.xml><?xml version="1.0" encoding="utf-8"?>
<comments xmlns="http://schemas.openxmlformats.org/spreadsheetml/2006/main">
  <authors>
    <author>jovie</author>
  </authors>
  <commentList>
    <comment ref="B103" authorId="0" shape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5.44 DTR</t>
        </r>
      </text>
    </comment>
    <comment ref="C131" authorId="0" shape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DTR</t>
        </r>
      </text>
    </comment>
    <comment ref="D281" authorId="0" shape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5.17</t>
        </r>
      </text>
    </comment>
    <comment ref="E281" authorId="0" shape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10.08</t>
        </r>
      </text>
    </comment>
  </commentList>
</comments>
</file>

<file path=xl/comments2.xml><?xml version="1.0" encoding="utf-8"?>
<comments xmlns="http://schemas.openxmlformats.org/spreadsheetml/2006/main">
  <authors>
    <author>jovie</author>
  </authors>
  <commentList>
    <comment ref="B18" authorId="0" shape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11.22 DTR</t>
        </r>
      </text>
    </comment>
    <comment ref="C18" authorId="0" shape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3.07</t>
        </r>
      </text>
    </comment>
    <comment ref="D18" authorId="0" shape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5.52</t>
        </r>
      </text>
    </comment>
  </commentList>
</comments>
</file>

<file path=xl/sharedStrings.xml><?xml version="1.0" encoding="utf-8"?>
<sst xmlns="http://schemas.openxmlformats.org/spreadsheetml/2006/main" count="2098" uniqueCount="310">
  <si>
    <t>NAME</t>
  </si>
  <si>
    <t>POSITION</t>
  </si>
  <si>
    <t>AMOUNT</t>
  </si>
  <si>
    <t>TOTAL</t>
  </si>
  <si>
    <t>SSS</t>
  </si>
  <si>
    <t>PHEALTH</t>
  </si>
  <si>
    <t>HDMF</t>
  </si>
  <si>
    <t>W/TAX</t>
  </si>
  <si>
    <t>Prepared by:</t>
  </si>
  <si>
    <t>Checked by:</t>
  </si>
  <si>
    <t>Approved by:</t>
  </si>
  <si>
    <t>Period Covered:</t>
  </si>
  <si>
    <t>(outlet)</t>
  </si>
  <si>
    <t>BASIC PAY</t>
  </si>
  <si>
    <t>DAILY RATE</t>
  </si>
  <si>
    <t>DAYS WORKED</t>
  </si>
  <si>
    <t>GROSS PAY</t>
  </si>
  <si>
    <t>LEGAL HOLIDAY</t>
  </si>
  <si>
    <t>SPECIAL HOLIDAY</t>
  </si>
  <si>
    <t>NDS</t>
  </si>
  <si>
    <t>ADJUSTMENT</t>
  </si>
  <si>
    <t>UT/LATE</t>
  </si>
  <si>
    <t>ABSENT</t>
  </si>
  <si>
    <t>SSS LOAN</t>
  </si>
  <si>
    <t>HDMF LOAN</t>
  </si>
  <si>
    <r>
      <t>P</t>
    </r>
    <r>
      <rPr>
        <b/>
        <sz val="10"/>
        <color indexed="8"/>
        <rFont val="Times New Roman"/>
        <family val="1"/>
      </rPr>
      <t xml:space="preserve"> </t>
    </r>
    <r>
      <rPr>
        <b/>
        <u/>
        <sz val="10"/>
        <color indexed="8"/>
        <rFont val="Times New Roman"/>
        <family val="1"/>
      </rPr>
      <t>A</t>
    </r>
    <r>
      <rPr>
        <b/>
        <sz val="10"/>
        <color indexed="8"/>
        <rFont val="Times New Roman"/>
        <family val="1"/>
      </rPr>
      <t xml:space="preserve"> </t>
    </r>
    <r>
      <rPr>
        <b/>
        <u/>
        <sz val="10"/>
        <color indexed="8"/>
        <rFont val="Times New Roman"/>
        <family val="1"/>
      </rPr>
      <t>Y</t>
    </r>
    <r>
      <rPr>
        <b/>
        <sz val="10"/>
        <color indexed="8"/>
        <rFont val="Times New Roman"/>
        <family val="1"/>
      </rPr>
      <t xml:space="preserve">   </t>
    </r>
    <r>
      <rPr>
        <b/>
        <u/>
        <sz val="10"/>
        <color indexed="8"/>
        <rFont val="Times New Roman"/>
        <family val="1"/>
      </rPr>
      <t>S</t>
    </r>
    <r>
      <rPr>
        <b/>
        <sz val="10"/>
        <color indexed="8"/>
        <rFont val="Times New Roman"/>
        <family val="1"/>
      </rPr>
      <t xml:space="preserve"> </t>
    </r>
    <r>
      <rPr>
        <b/>
        <u/>
        <sz val="10"/>
        <color indexed="8"/>
        <rFont val="Times New Roman"/>
        <family val="1"/>
      </rPr>
      <t>L</t>
    </r>
    <r>
      <rPr>
        <b/>
        <sz val="10"/>
        <color indexed="8"/>
        <rFont val="Times New Roman"/>
        <family val="1"/>
      </rPr>
      <t xml:space="preserve"> </t>
    </r>
    <r>
      <rPr>
        <b/>
        <u/>
        <sz val="10"/>
        <color indexed="8"/>
        <rFont val="Times New Roman"/>
        <family val="1"/>
      </rPr>
      <t>I</t>
    </r>
    <r>
      <rPr>
        <b/>
        <sz val="10"/>
        <color indexed="8"/>
        <rFont val="Times New Roman"/>
        <family val="1"/>
      </rPr>
      <t xml:space="preserve"> </t>
    </r>
    <r>
      <rPr>
        <b/>
        <u/>
        <sz val="10"/>
        <color indexed="8"/>
        <rFont val="Times New Roman"/>
        <family val="1"/>
      </rPr>
      <t>P</t>
    </r>
  </si>
  <si>
    <t>N a m e</t>
  </si>
  <si>
    <t>:</t>
  </si>
  <si>
    <t>R a t e</t>
  </si>
  <si>
    <t>Period Ending</t>
  </si>
  <si>
    <t>Total Wages From</t>
  </si>
  <si>
    <t xml:space="preserve">     </t>
  </si>
  <si>
    <t>A d d : Overtime</t>
  </si>
  <si>
    <t>Regular OT</t>
  </si>
  <si>
    <t>Holiday</t>
  </si>
  <si>
    <t>Special</t>
  </si>
  <si>
    <t>Less : Deductions</t>
  </si>
  <si>
    <t>Philhealth</t>
  </si>
  <si>
    <t>Withholding Tax</t>
  </si>
  <si>
    <t>Absenties &amp; Lates</t>
  </si>
  <si>
    <t>NET PAY</t>
  </si>
  <si>
    <t>Received Payment :</t>
  </si>
  <si>
    <t xml:space="preserve">     ___________________________</t>
  </si>
  <si>
    <t>Food Charges</t>
  </si>
  <si>
    <t>ECOLA</t>
  </si>
  <si>
    <t>EMPLOYEE CHARGES</t>
  </si>
  <si>
    <t>S</t>
  </si>
  <si>
    <t>S1</t>
  </si>
  <si>
    <t>S2</t>
  </si>
  <si>
    <t>S3</t>
  </si>
  <si>
    <t>S4</t>
  </si>
  <si>
    <t>ME</t>
  </si>
  <si>
    <t>ME1</t>
  </si>
  <si>
    <t>ME2</t>
  </si>
  <si>
    <t>ME3</t>
  </si>
  <si>
    <t>ME4</t>
  </si>
  <si>
    <t>Summary of Contribution</t>
  </si>
  <si>
    <t>less than 10 r3 qrtly</t>
  </si>
  <si>
    <t>For the Month Ended</t>
  </si>
  <si>
    <t>(due date of this payment is every 10Th of the month)</t>
  </si>
  <si>
    <t>more 10 diskette mthly</t>
  </si>
  <si>
    <t>form r5/collection list</t>
  </si>
  <si>
    <t>me5/rf1</t>
  </si>
  <si>
    <t>Pag Ibig form</t>
  </si>
  <si>
    <t>1601c</t>
  </si>
  <si>
    <t>gross salary-abs-undertime</t>
  </si>
  <si>
    <t>use sss table</t>
  </si>
  <si>
    <t>use phealth table</t>
  </si>
  <si>
    <t>use pag ibig table</t>
  </si>
  <si>
    <t>use tax table</t>
  </si>
  <si>
    <t>Payroll Period</t>
  </si>
  <si>
    <t>Total</t>
  </si>
  <si>
    <t>SSS Contribution</t>
  </si>
  <si>
    <t>Philhealth Conribution</t>
  </si>
  <si>
    <t>Pag Ibig Contribution</t>
  </si>
  <si>
    <t>Withholding</t>
  </si>
  <si>
    <t>Name of Employees</t>
  </si>
  <si>
    <t>Status</t>
  </si>
  <si>
    <t>TIN#</t>
  </si>
  <si>
    <t>SSS#</t>
  </si>
  <si>
    <t>Philhealth#</t>
  </si>
  <si>
    <t>Pag Ibig#</t>
  </si>
  <si>
    <t>21 - 5</t>
  </si>
  <si>
    <t>6 - 20</t>
  </si>
  <si>
    <t>Salary</t>
  </si>
  <si>
    <t>ER</t>
  </si>
  <si>
    <t>EE</t>
  </si>
  <si>
    <t>EC</t>
  </si>
  <si>
    <t>Tax</t>
  </si>
  <si>
    <t>Amount of Check to be prepared</t>
  </si>
  <si>
    <t>DAYS</t>
  </si>
  <si>
    <t>LEAVE</t>
  </si>
  <si>
    <t xml:space="preserve">VACATION </t>
  </si>
  <si>
    <t>SICK</t>
  </si>
  <si>
    <t>BIRTHDAY</t>
  </si>
  <si>
    <t>E-Cola</t>
  </si>
  <si>
    <t>SSS Loan</t>
  </si>
  <si>
    <t>HDMF Loan</t>
  </si>
  <si>
    <t xml:space="preserve"> UCPB Loan / Other Deduction</t>
  </si>
  <si>
    <t>Ajustment / NDS/ Allow</t>
  </si>
  <si>
    <t>CPI</t>
  </si>
  <si>
    <t>Head Accountant</t>
  </si>
  <si>
    <t>AMOUNT RECEIVED</t>
  </si>
  <si>
    <t>FOR CONTRIBUTION PURPOSES</t>
  </si>
  <si>
    <t>MT Bookkeeper</t>
  </si>
  <si>
    <t>CHARGED LATE</t>
  </si>
  <si>
    <t>THE OLD SPAGHETTI HOUSE</t>
  </si>
  <si>
    <t>Store Supervisor</t>
  </si>
  <si>
    <t>OVERTIME PAY ON A</t>
  </si>
  <si>
    <t>REGULAR DAY</t>
  </si>
  <si>
    <t>HMDF</t>
  </si>
  <si>
    <t>UCPB</t>
  </si>
  <si>
    <t>BANK LOAN</t>
  </si>
  <si>
    <t>AUB</t>
  </si>
  <si>
    <t>PHONE</t>
  </si>
  <si>
    <t>FIXED</t>
  </si>
  <si>
    <t>HOUSING</t>
  </si>
  <si>
    <t>LOAN</t>
  </si>
  <si>
    <t>F. ALLOW</t>
  </si>
  <si>
    <t>VALERO</t>
  </si>
  <si>
    <t>Biarcal, Ronald Glenn</t>
  </si>
  <si>
    <t>Dino, Joyce</t>
  </si>
  <si>
    <t>Store Manager</t>
  </si>
  <si>
    <t xml:space="preserve">Sosa, Anna Marie </t>
  </si>
  <si>
    <t>LEGAL</t>
  </si>
  <si>
    <t>SPECIAL</t>
  </si>
  <si>
    <t>CHARGE LATE</t>
  </si>
  <si>
    <t>BASIC</t>
  </si>
  <si>
    <t>TAXABLE ALLOW</t>
  </si>
  <si>
    <t>COLA</t>
  </si>
  <si>
    <t>OVERTIME</t>
  </si>
  <si>
    <t>ABS / UT / LATE</t>
  </si>
  <si>
    <t>ALLOWANCE</t>
  </si>
  <si>
    <t>FOR BIR FORMS</t>
  </si>
  <si>
    <t>15</t>
  </si>
  <si>
    <t>16A</t>
  </si>
  <si>
    <t>MINIMUM</t>
  </si>
  <si>
    <t>HOLIDAY + OT + NDS</t>
  </si>
  <si>
    <t>16B</t>
  </si>
  <si>
    <t>COLA + ALLOWANCE + CONTRIBUTION</t>
  </si>
  <si>
    <t>16C</t>
  </si>
  <si>
    <t>ABOVE MINIMUM</t>
  </si>
  <si>
    <t>TOTAL PAYROLL - CONTRI -COLA-CHARGED LATE</t>
  </si>
  <si>
    <t>17</t>
  </si>
  <si>
    <t>18</t>
  </si>
  <si>
    <t>ADD/LESS: ADJUSTMENT</t>
  </si>
  <si>
    <t>19</t>
  </si>
  <si>
    <t>20</t>
  </si>
  <si>
    <t>SEC</t>
  </si>
  <si>
    <t>Sanchez, Angelo</t>
  </si>
  <si>
    <t>Head Cook</t>
  </si>
  <si>
    <t>OTHER DEDUCTION</t>
  </si>
  <si>
    <t>Filtered By Branch: VALERO</t>
  </si>
  <si>
    <t>JOVIE</t>
  </si>
  <si>
    <t>DATE</t>
  </si>
  <si>
    <t>ACTUAL</t>
  </si>
  <si>
    <t>PROPOSED</t>
  </si>
  <si>
    <t xml:space="preserve">LATE </t>
  </si>
  <si>
    <t xml:space="preserve">UT </t>
  </si>
  <si>
    <t>OT</t>
  </si>
  <si>
    <t>ABS</t>
  </si>
  <si>
    <t>SCHEDULE</t>
  </si>
  <si>
    <t>REMARKS</t>
  </si>
  <si>
    <t>IN</t>
  </si>
  <si>
    <t>OUT</t>
  </si>
  <si>
    <t>VACATION</t>
  </si>
  <si>
    <t>INCENTIVE</t>
  </si>
  <si>
    <t>REG</t>
  </si>
  <si>
    <t>LEG</t>
  </si>
  <si>
    <t>ID NUMBER:</t>
  </si>
  <si>
    <t>TOSH-10079</t>
  </si>
  <si>
    <t>EMPLOYEE NAME:</t>
  </si>
  <si>
    <t>Biarcal, Ronald Glenn Ablan</t>
  </si>
  <si>
    <t>OFF</t>
  </si>
  <si>
    <t>OFF SET</t>
  </si>
  <si>
    <t>TOSH-20129</t>
  </si>
  <si>
    <t>Cahilig, Benzen Bonifacio</t>
  </si>
  <si>
    <t>9-6</t>
  </si>
  <si>
    <t>TOSH-10077</t>
  </si>
  <si>
    <t>Dino, Joyce Flores</t>
  </si>
  <si>
    <t>1 hr extended duty</t>
  </si>
  <si>
    <t>TOSH-20395</t>
  </si>
  <si>
    <t>Espelleta, Eddieboy Buenavista</t>
  </si>
  <si>
    <t>10 min late</t>
  </si>
  <si>
    <t>14 min late</t>
  </si>
  <si>
    <t>TOSH-20121</t>
  </si>
  <si>
    <t>Hayagan, Ruel Balano</t>
  </si>
  <si>
    <t>TOSH-20399</t>
  </si>
  <si>
    <t>Morla , Ralph Miguel Villamar</t>
  </si>
  <si>
    <t>TOSH-20251</t>
  </si>
  <si>
    <t>Pantoja, Nancy Astonga</t>
  </si>
  <si>
    <t>TOSH-10080</t>
  </si>
  <si>
    <t>Sanchez, Angelo F.</t>
  </si>
  <si>
    <t>TOSH-20107</t>
  </si>
  <si>
    <t>Sosa, Anna Marie Lustre</t>
  </si>
  <si>
    <t>2 hrs extended duty</t>
  </si>
  <si>
    <t>TOSH-20574</t>
  </si>
  <si>
    <t>Valencia, Arvin Ruiz</t>
  </si>
  <si>
    <t>TOSH-20532</t>
  </si>
  <si>
    <t>Villanueva, Jeffrey Dirige</t>
  </si>
  <si>
    <t>Powered By:</t>
  </si>
  <si>
    <t>8-5</t>
  </si>
  <si>
    <t>half day VL</t>
  </si>
  <si>
    <t>Briones, Christain Joy</t>
  </si>
  <si>
    <t>Asst. Cook</t>
  </si>
  <si>
    <t>TOSH-20128</t>
  </si>
  <si>
    <t>Briones, Christian Joy Magsese</t>
  </si>
  <si>
    <t>7-4</t>
  </si>
  <si>
    <t>time out pls relay to timecard</t>
  </si>
  <si>
    <t>.</t>
  </si>
  <si>
    <t>11 min late</t>
  </si>
  <si>
    <t>TOSH-20369</t>
  </si>
  <si>
    <t>ESPINOSA, CAMILLE DENICE DE VERA</t>
  </si>
  <si>
    <t>12 min late</t>
  </si>
  <si>
    <t>Payperiod:   17.11 OCTOBER 26 - NOVEMBER 10, 2017 (10/26/2017 to 11/10/2017)</t>
  </si>
  <si>
    <t>Report Date:   November 09, 2017 12:12 PM</t>
  </si>
  <si>
    <t>Thursday October 26, 2017</t>
  </si>
  <si>
    <t>1.5hrs extendednn</t>
  </si>
  <si>
    <t>Friday October 27, 2017</t>
  </si>
  <si>
    <t>Saturday October 28, 2017</t>
  </si>
  <si>
    <t>Sunday October 29, 2017</t>
  </si>
  <si>
    <t xml:space="preserve">OFF  </t>
  </si>
  <si>
    <t>Monday October 30, 2017</t>
  </si>
  <si>
    <t>Tuesday October 31, 2017</t>
  </si>
  <si>
    <t>STORE CLOSED</t>
  </si>
  <si>
    <t>Wednesday November 1, 2017</t>
  </si>
  <si>
    <t>Thursday November 2, 2017</t>
  </si>
  <si>
    <t>1hr extended duty</t>
  </si>
  <si>
    <t>Friday November 3, 2017</t>
  </si>
  <si>
    <t>Saturday November 4, 2017</t>
  </si>
  <si>
    <t>2hrs extended duty</t>
  </si>
  <si>
    <t>Sunday November 5, 2017</t>
  </si>
  <si>
    <t>Monday November 6, 2017</t>
  </si>
  <si>
    <t>Tuesday November 7, 2017</t>
  </si>
  <si>
    <t>Wednesday November 8, 2017</t>
  </si>
  <si>
    <t>5.30-2.30</t>
  </si>
  <si>
    <t>Thursday November 9, 2017</t>
  </si>
  <si>
    <t>Friday November 10, 2017</t>
  </si>
  <si>
    <t>111.30-11.30</t>
  </si>
  <si>
    <t>11.30-11.30</t>
  </si>
  <si>
    <t>NO IN OUT FROM DIVISORIA PURCHASED</t>
  </si>
  <si>
    <t>Sunday duty c/o transfer of new gas line storage. Need to supervise the relocation of storage as per requirement of contractor and bldg admin.nnWork done at around 2 pm.</t>
  </si>
  <si>
    <t>3 hrs extended duty</t>
  </si>
  <si>
    <t>3 hrs extended duty. Mid to closing/ Mam Marie is on leave.</t>
  </si>
  <si>
    <t>DUTY</t>
  </si>
  <si>
    <t>29 min late</t>
  </si>
  <si>
    <t>7 min late</t>
  </si>
  <si>
    <t>92 min late</t>
  </si>
  <si>
    <t>5.30-5.30</t>
  </si>
  <si>
    <t>11.30.-11.30</t>
  </si>
  <si>
    <t>break time out pls relay to timecard</t>
  </si>
  <si>
    <t>10-7</t>
  </si>
  <si>
    <t>not late time in after break</t>
  </si>
  <si>
    <t>.5 extended duty</t>
  </si>
  <si>
    <t>time out 12:11 am</t>
  </si>
  <si>
    <t>2.30-11.30</t>
  </si>
  <si>
    <t>break time out and time in pls relay to timecard</t>
  </si>
  <si>
    <t>11-10</t>
  </si>
  <si>
    <t>Filtered By Branch: SIZZLE IT</t>
  </si>
  <si>
    <t>1.23 min late</t>
  </si>
  <si>
    <t>27 min overbreak</t>
  </si>
  <si>
    <t>5.30-2.50</t>
  </si>
  <si>
    <t>ESCOBER SHERWIN</t>
  </si>
  <si>
    <t>7.-4</t>
  </si>
  <si>
    <t>FABELLON, RIKKA JAMEL</t>
  </si>
  <si>
    <t>M.T.Bookkeeper</t>
  </si>
  <si>
    <t>M.T.Purchaser</t>
  </si>
  <si>
    <t>Cahilig,Benzen</t>
  </si>
  <si>
    <t>Cook</t>
  </si>
  <si>
    <t>Pantoja,Nancy</t>
  </si>
  <si>
    <t>Cashier</t>
  </si>
  <si>
    <t>August 11-25</t>
  </si>
  <si>
    <t>Briones, Christian Joy</t>
  </si>
  <si>
    <t>Examples</t>
  </si>
  <si>
    <t>Late ng 2 hours and 15 minutes</t>
  </si>
  <si>
    <t>Time formula is 2 + 15/60</t>
  </si>
  <si>
    <t>Daily Rate</t>
  </si>
  <si>
    <t>Time</t>
  </si>
  <si>
    <t>Deduct</t>
  </si>
  <si>
    <t>This means merong under deduction</t>
  </si>
  <si>
    <t>A.</t>
  </si>
  <si>
    <t>Late ng 2 hours and 59 minutes</t>
  </si>
  <si>
    <t>Time formula is 2 + 59/60</t>
  </si>
  <si>
    <t>Isang minuto na lang, 1 hr na</t>
  </si>
  <si>
    <t>This shows an extreme example para mas madali makita yung kamalian</t>
  </si>
  <si>
    <t>B.</t>
  </si>
  <si>
    <t>Di ba, 15 minutes is 25% of one hour?</t>
  </si>
  <si>
    <t>And 25% = 0.25…</t>
  </si>
  <si>
    <t>Ergo, 2 + 0.25 dapat.</t>
  </si>
  <si>
    <t xml:space="preserve">Mali yung time input sa Late. </t>
  </si>
  <si>
    <t>In regards to overtime, walang minutes so walang naging problem.</t>
  </si>
  <si>
    <t>March 26-April 10,2019</t>
  </si>
  <si>
    <t>OC Adj.</t>
  </si>
  <si>
    <t>EC refund</t>
  </si>
  <si>
    <t>Anna Marie Sosa</t>
  </si>
  <si>
    <t>April 11-25,2019</t>
  </si>
  <si>
    <t>TOSHCO INC.</t>
  </si>
  <si>
    <t>Amaphil</t>
  </si>
  <si>
    <t>VL</t>
  </si>
  <si>
    <t>Alvin Cruz</t>
  </si>
  <si>
    <t>ADJUSTMENT (VL &amp; OT last cut off)</t>
  </si>
  <si>
    <t>Regular OT/VL</t>
  </si>
  <si>
    <t>Dec 26-Jan 10,2020</t>
  </si>
  <si>
    <t>APE 3 of 4</t>
  </si>
  <si>
    <t>Hayagan, Ruel</t>
  </si>
  <si>
    <t>Labadan, Eric</t>
  </si>
  <si>
    <t>Waiter</t>
  </si>
  <si>
    <t>PRO-RATED</t>
  </si>
  <si>
    <t>NO. OF DAYS</t>
  </si>
  <si>
    <t>September 28-Oct 03,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</si>
</sst>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0_);_(* \(#,##0.00\);_(* \-??_);_(@_)"/>
    <numFmt numFmtId="165" formatCode="_(* #,##0_);_(* \(#,##0\);_(* \-??_);_(@_)"/>
    <numFmt numFmtId="166" formatCode="mmmm\ dd\,\ yyyy"/>
    <numFmt numFmtId="167" formatCode="0.0"/>
    <numFmt numFmtId="168" formatCode="0.00_)"/>
    <numFmt numFmtId="169" formatCode="[$-409]mmmm\ d\,\ yyyy;@"/>
    <numFmt numFmtId="170" formatCode="[$-F800]dddd\,\ mmmm\ dd\,\ yyyy"/>
    <numFmt numFmtId="171" formatCode="0.00;[Red]0.00"/>
  </numFmts>
  <fonts count="7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color indexed="8"/>
      <name val="Times New Roman"/>
      <family val="1"/>
    </font>
    <font>
      <b/>
      <i/>
      <sz val="10"/>
      <color indexed="8"/>
      <name val="Arial"/>
      <family val="2"/>
    </font>
    <font>
      <sz val="8"/>
      <color indexed="8"/>
      <name val="Times New Roman"/>
      <family val="1"/>
    </font>
    <font>
      <b/>
      <u/>
      <sz val="10"/>
      <color indexed="8"/>
      <name val="Times New Roman"/>
      <family val="1"/>
    </font>
    <font>
      <sz val="10"/>
      <color indexed="8"/>
      <name val="Times New Roman"/>
      <family val="1"/>
    </font>
    <font>
      <sz val="9"/>
      <color indexed="8"/>
      <name val="Times New Roman"/>
      <family val="1"/>
    </font>
    <font>
      <sz val="7"/>
      <color indexed="8"/>
      <name val="Times New Roman"/>
      <family val="1"/>
    </font>
    <font>
      <b/>
      <sz val="9"/>
      <name val="Arial"/>
      <family val="2"/>
    </font>
    <font>
      <sz val="10"/>
      <name val="Arial Narrow"/>
      <family val="2"/>
    </font>
    <font>
      <sz val="11"/>
      <color indexed="8"/>
      <name val="Calibri"/>
      <family val="2"/>
    </font>
    <font>
      <b/>
      <sz val="9"/>
      <name val="Bookman Old Style"/>
      <family val="1"/>
    </font>
    <font>
      <b/>
      <i/>
      <sz val="16"/>
      <name val="Helv"/>
    </font>
    <font>
      <sz val="10"/>
      <color indexed="72"/>
      <name val="Arial"/>
      <family val="2"/>
    </font>
    <font>
      <b/>
      <sz val="8"/>
      <name val="Arial Rounded MT Bold"/>
      <family val="2"/>
    </font>
    <font>
      <sz val="8"/>
      <name val="Arial"/>
      <family val="2"/>
    </font>
    <font>
      <b/>
      <sz val="8"/>
      <color indexed="10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7"/>
      <name val="Arial"/>
      <family val="2"/>
    </font>
    <font>
      <i/>
      <sz val="10"/>
      <name val="Arial"/>
      <family val="2"/>
    </font>
    <font>
      <b/>
      <sz val="7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indexed="17"/>
      <name val="Verdana"/>
      <family val="2"/>
    </font>
    <font>
      <sz val="9"/>
      <name val="Arial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3F3F76"/>
      <name val="Calibri"/>
      <family val="2"/>
      <scheme val="minor"/>
    </font>
    <font>
      <sz val="11"/>
      <color theme="1"/>
      <name val="Comic Sans MS"/>
      <family val="2"/>
    </font>
    <font>
      <b/>
      <sz val="10"/>
      <color rgb="FFFF0000"/>
      <name val="Times New Roman"/>
      <family val="1"/>
    </font>
    <font>
      <b/>
      <sz val="10"/>
      <color rgb="FF008000"/>
      <name val="Arial"/>
      <family val="2"/>
    </font>
    <font>
      <sz val="12"/>
      <color rgb="FFFF0000"/>
      <name val="Arial"/>
      <family val="2"/>
    </font>
    <font>
      <b/>
      <sz val="11"/>
      <color rgb="FF006600"/>
      <name val="Arial"/>
      <family val="2"/>
    </font>
    <font>
      <b/>
      <sz val="12"/>
      <color rgb="FFFF0000"/>
      <name val="Arial"/>
      <family val="2"/>
    </font>
    <font>
      <b/>
      <sz val="10"/>
      <color rgb="FFFF0000"/>
      <name val="Arial"/>
      <family val="2"/>
    </font>
    <font>
      <b/>
      <sz val="10"/>
      <color rgb="FF0000FF"/>
      <name val="Arial"/>
      <family val="2"/>
    </font>
    <font>
      <sz val="10"/>
      <color rgb="FF0000FF"/>
      <name val="Arial"/>
      <family val="2"/>
    </font>
    <font>
      <b/>
      <i/>
      <sz val="10"/>
      <color rgb="FFFF0000"/>
      <name val="Arial"/>
      <family val="2"/>
    </font>
    <font>
      <b/>
      <i/>
      <sz val="10"/>
      <color rgb="FF0000FF"/>
      <name val="Arial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b/>
      <sz val="9"/>
      <color rgb="FFFF0000"/>
      <name val="Arial"/>
      <family val="2"/>
    </font>
    <font>
      <sz val="9"/>
      <color rgb="FF000000"/>
      <name val="Arial"/>
      <family val="2"/>
    </font>
    <font>
      <b/>
      <sz val="9"/>
      <color rgb="FF000000"/>
      <name val="Arial"/>
      <family val="2"/>
    </font>
    <font>
      <b/>
      <sz val="9"/>
      <color rgb="FFFFFFFF"/>
      <name val="Arial"/>
      <family val="2"/>
    </font>
    <font>
      <b/>
      <sz val="5"/>
      <color rgb="FF008000"/>
      <name val="Verdana"/>
      <family val="2"/>
    </font>
    <font>
      <b/>
      <sz val="6"/>
      <color rgb="FFFF0000"/>
      <name val="Verdana"/>
      <family val="2"/>
    </font>
    <font>
      <b/>
      <sz val="9"/>
      <color rgb="FFFEAC02"/>
      <name val="Arial"/>
      <family val="2"/>
    </font>
    <font>
      <b/>
      <sz val="10"/>
      <color rgb="FF000000"/>
      <name val="Arial"/>
      <family val="2"/>
    </font>
    <font>
      <sz val="7"/>
      <color rgb="FF000000"/>
      <name val="Arial"/>
      <family val="2"/>
    </font>
    <font>
      <b/>
      <sz val="7"/>
      <color rgb="FFFFFFFF"/>
      <name val="Arial"/>
      <family val="2"/>
    </font>
    <font>
      <sz val="9"/>
      <color rgb="FFFFFFFF"/>
      <name val="Arial"/>
      <family val="2"/>
    </font>
    <font>
      <b/>
      <sz val="7"/>
      <color rgb="FF000000"/>
      <name val="Arial"/>
      <family val="2"/>
    </font>
    <font>
      <sz val="7"/>
      <color theme="1"/>
      <name val="Calibri"/>
      <family val="2"/>
      <scheme val="minor"/>
    </font>
    <font>
      <b/>
      <sz val="7"/>
      <color rgb="FFFEAC02"/>
      <name val="Arial"/>
      <family val="2"/>
    </font>
    <font>
      <b/>
      <sz val="9"/>
      <color rgb="FF008000"/>
      <name val="Calibri"/>
      <family val="2"/>
      <scheme val="minor"/>
    </font>
    <font>
      <b/>
      <sz val="9"/>
      <color rgb="FFFEAC02"/>
      <name val="Calibri"/>
      <family val="2"/>
      <scheme val="minor"/>
    </font>
    <font>
      <b/>
      <sz val="9"/>
      <color rgb="FF000000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5"/>
      <color rgb="FFFF0000"/>
      <name val="Verdana"/>
      <family val="2"/>
    </font>
    <font>
      <b/>
      <sz val="10"/>
      <color rgb="FF008000"/>
      <name val="Verdana"/>
      <family val="2"/>
    </font>
    <font>
      <b/>
      <sz val="20"/>
      <color rgb="FF171717"/>
      <name val="Arial"/>
      <family val="2"/>
    </font>
    <font>
      <b/>
      <sz val="8"/>
      <color theme="0"/>
      <name val="Arial"/>
      <family val="2"/>
    </font>
    <font>
      <b/>
      <sz val="10"/>
      <color rgb="FF0070C0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464646"/>
        <bgColor indexed="64"/>
      </patternFill>
    </fill>
    <fill>
      <patternFill patternType="solid">
        <fgColor rgb="FFD7D7D7"/>
        <bgColor indexed="64"/>
      </patternFill>
    </fill>
    <fill>
      <patternFill patternType="solid">
        <fgColor rgb="FFAAD8D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</fills>
  <borders count="10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64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8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thick">
        <color indexed="8"/>
      </right>
      <top style="medium">
        <color indexed="8"/>
      </top>
      <bottom/>
      <diagonal/>
    </border>
    <border>
      <left style="thin">
        <color indexed="8"/>
      </left>
      <right style="thick">
        <color indexed="8"/>
      </right>
      <top/>
      <bottom style="medium">
        <color indexed="8"/>
      </bottom>
      <diagonal/>
    </border>
    <border>
      <left style="thick">
        <color indexed="8"/>
      </left>
      <right style="thick">
        <color indexed="8"/>
      </right>
      <top style="medium">
        <color indexed="8"/>
      </top>
      <bottom/>
      <diagonal/>
    </border>
    <border>
      <left style="thick">
        <color indexed="8"/>
      </left>
      <right style="thick">
        <color indexed="8"/>
      </right>
      <top/>
      <bottom style="medium">
        <color indexed="8"/>
      </bottom>
      <diagonal/>
    </border>
    <border>
      <left style="thick">
        <color indexed="8"/>
      </left>
      <right style="medium">
        <color indexed="8"/>
      </right>
      <top style="medium">
        <color indexed="8"/>
      </top>
      <bottom/>
      <diagonal/>
    </border>
    <border>
      <left style="thick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indexed="8"/>
      </left>
      <right/>
      <top style="medium">
        <color indexed="8"/>
      </top>
      <bottom/>
      <diagonal/>
    </border>
    <border>
      <left style="thick">
        <color indexed="8"/>
      </left>
      <right/>
      <top/>
      <bottom style="medium">
        <color indexed="8"/>
      </bottom>
      <diagonal/>
    </border>
    <border>
      <left style="medium">
        <color indexed="64"/>
      </left>
      <right style="thick">
        <color indexed="8"/>
      </right>
      <top style="medium">
        <color indexed="8"/>
      </top>
      <bottom/>
      <diagonal/>
    </border>
    <border>
      <left style="medium">
        <color indexed="64"/>
      </left>
      <right style="thick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thick">
        <color indexed="8"/>
      </right>
      <top style="medium">
        <color indexed="8"/>
      </top>
      <bottom/>
      <diagonal/>
    </border>
    <border>
      <left style="medium">
        <color indexed="8"/>
      </left>
      <right style="thick">
        <color indexed="8"/>
      </right>
      <top/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/>
      <right style="thick">
        <color indexed="8"/>
      </right>
      <top style="medium">
        <color indexed="8"/>
      </top>
      <bottom/>
      <diagonal/>
    </border>
    <border>
      <left/>
      <right style="thick">
        <color indexed="8"/>
      </right>
      <top/>
      <bottom style="medium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slantDashDot">
        <color rgb="FF008000"/>
      </left>
      <right style="slantDashDot">
        <color rgb="FF008000"/>
      </right>
      <top style="slantDashDot">
        <color rgb="FF008000"/>
      </top>
      <bottom style="slantDashDot">
        <color rgb="FF008000"/>
      </bottom>
      <diagonal/>
    </border>
    <border>
      <left/>
      <right style="slantDashDot">
        <color rgb="FF008000"/>
      </right>
      <top style="slantDashDot">
        <color rgb="FF008000"/>
      </top>
      <bottom style="slantDashDot">
        <color rgb="FF008000"/>
      </bottom>
      <diagonal/>
    </border>
    <border>
      <left/>
      <right/>
      <top style="slantDashDot">
        <color rgb="FF008000"/>
      </top>
      <bottom/>
      <diagonal/>
    </border>
    <border>
      <left/>
      <right/>
      <top/>
      <bottom style="slantDashDot">
        <color rgb="FF008000"/>
      </bottom>
      <diagonal/>
    </border>
    <border>
      <left/>
      <right style="slantDashDot">
        <color rgb="FF008000"/>
      </right>
      <top style="slantDashDot">
        <color rgb="FF008000"/>
      </top>
      <bottom/>
      <diagonal/>
    </border>
    <border>
      <left/>
      <right style="slantDashDot">
        <color rgb="FF008000"/>
      </right>
      <top/>
      <bottom style="slantDashDot">
        <color rgb="FF008000"/>
      </bottom>
      <diagonal/>
    </border>
    <border>
      <left style="slantDashDot">
        <color rgb="FF008000"/>
      </left>
      <right/>
      <top style="slantDashDot">
        <color rgb="FF008000"/>
      </top>
      <bottom/>
      <diagonal/>
    </border>
    <border>
      <left style="slantDashDot">
        <color rgb="FF008000"/>
      </left>
      <right/>
      <top/>
      <bottom style="slantDashDot">
        <color rgb="FF008000"/>
      </bottom>
      <diagonal/>
    </border>
    <border>
      <left style="slantDashDot">
        <color rgb="FF008000"/>
      </left>
      <right/>
      <top style="slantDashDot">
        <color rgb="FF008000"/>
      </top>
      <bottom style="slantDashDot">
        <color rgb="FF008000"/>
      </bottom>
      <diagonal/>
    </border>
    <border>
      <left/>
      <right/>
      <top style="slantDashDot">
        <color rgb="FF008000"/>
      </top>
      <bottom style="slantDashDot">
        <color rgb="FF008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09">
    <xf numFmtId="0" fontId="0" fillId="0" borderId="0"/>
    <xf numFmtId="43" fontId="1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" fillId="0" borderId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6" fillId="0" borderId="0" applyFont="0" applyFill="0" applyBorder="0" applyAlignment="0" applyProtection="0"/>
    <xf numFmtId="44" fontId="3" fillId="0" borderId="0" applyFont="0" applyFill="0" applyBorder="0" applyAlignment="0" applyProtection="0"/>
    <xf numFmtId="168" fontId="3" fillId="0" borderId="0"/>
    <xf numFmtId="164" fontId="3" fillId="0" borderId="0"/>
    <xf numFmtId="0" fontId="3" fillId="0" borderId="0"/>
    <xf numFmtId="38" fontId="2" fillId="2" borderId="0" applyNumberFormat="0" applyBorder="0" applyAlignment="0" applyProtection="0"/>
    <xf numFmtId="10" fontId="2" fillId="3" borderId="1" applyNumberFormat="0" applyBorder="0" applyAlignment="0" applyProtection="0"/>
    <xf numFmtId="167" fontId="20" fillId="0" borderId="1" applyNumberFormat="0">
      <alignment horizontal="center" vertical="center" wrapText="1"/>
    </xf>
    <xf numFmtId="0" fontId="2" fillId="0" borderId="1" applyNumberFormat="0">
      <alignment horizontal="center" vertical="center" wrapText="1"/>
    </xf>
    <xf numFmtId="168" fontId="21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22" fillId="0" borderId="0"/>
    <xf numFmtId="0" fontId="3" fillId="0" borderId="0"/>
    <xf numFmtId="0" fontId="19" fillId="0" borderId="0"/>
    <xf numFmtId="0" fontId="22" fillId="0" borderId="0"/>
    <xf numFmtId="0" fontId="22" fillId="0" borderId="0"/>
    <xf numFmtId="0" fontId="1" fillId="0" borderId="0"/>
    <xf numFmtId="0" fontId="3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22" fillId="0" borderId="0"/>
    <xf numFmtId="0" fontId="22" fillId="0" borderId="0"/>
    <xf numFmtId="0" fontId="3" fillId="0" borderId="0"/>
    <xf numFmtId="0" fontId="3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" fillId="0" borderId="0"/>
    <xf numFmtId="0" fontId="36" fillId="0" borderId="0"/>
    <xf numFmtId="0" fontId="36" fillId="0" borderId="0"/>
    <xf numFmtId="0" fontId="37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9" fillId="0" borderId="0"/>
    <xf numFmtId="0" fontId="3" fillId="0" borderId="0"/>
    <xf numFmtId="0" fontId="3" fillId="0" borderId="0"/>
    <xf numFmtId="0" fontId="36" fillId="0" borderId="0"/>
    <xf numFmtId="0" fontId="22" fillId="0" borderId="0"/>
    <xf numFmtId="0" fontId="3" fillId="0" borderId="0"/>
    <xf numFmtId="0" fontId="36" fillId="0" borderId="0"/>
    <xf numFmtId="0" fontId="22" fillId="0" borderId="0"/>
    <xf numFmtId="0" fontId="36" fillId="0" borderId="0"/>
    <xf numFmtId="0" fontId="1" fillId="0" borderId="0"/>
    <xf numFmtId="10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7" fontId="23" fillId="0" borderId="1" applyNumberFormat="0" applyAlignment="0">
      <alignment horizontal="right" vertical="center" wrapText="1"/>
    </xf>
  </cellStyleXfs>
  <cellXfs count="459">
    <xf numFmtId="0" fontId="0" fillId="0" borderId="0" xfId="0"/>
    <xf numFmtId="43" fontId="7" fillId="0" borderId="2" xfId="1" applyFont="1" applyFill="1" applyBorder="1" applyAlignment="1" applyProtection="1"/>
    <xf numFmtId="43" fontId="6" fillId="0" borderId="0" xfId="1" applyFont="1" applyFill="1" applyBorder="1" applyAlignment="1" applyProtection="1">
      <alignment horizontal="center"/>
      <protection locked="0"/>
    </xf>
    <xf numFmtId="43" fontId="6" fillId="0" borderId="3" xfId="1" applyFont="1" applyFill="1" applyBorder="1" applyAlignment="1" applyProtection="1">
      <alignment horizontal="center"/>
    </xf>
    <xf numFmtId="43" fontId="6" fillId="0" borderId="3" xfId="1" applyFont="1" applyFill="1" applyBorder="1" applyAlignment="1" applyProtection="1">
      <alignment horizontal="center"/>
      <protection locked="0"/>
    </xf>
    <xf numFmtId="43" fontId="6" fillId="0" borderId="4" xfId="1" applyFont="1" applyFill="1" applyBorder="1" applyAlignment="1" applyProtection="1">
      <alignment horizontal="center"/>
    </xf>
    <xf numFmtId="165" fontId="6" fillId="0" borderId="3" xfId="1" applyNumberFormat="1" applyFont="1" applyFill="1" applyBorder="1" applyAlignment="1" applyProtection="1">
      <alignment horizontal="center"/>
      <protection locked="0"/>
    </xf>
    <xf numFmtId="43" fontId="8" fillId="0" borderId="0" xfId="1" applyFont="1"/>
    <xf numFmtId="43" fontId="12" fillId="4" borderId="0" xfId="1" applyFont="1" applyFill="1" applyBorder="1"/>
    <xf numFmtId="43" fontId="14" fillId="4" borderId="0" xfId="1" applyFont="1" applyFill="1" applyBorder="1"/>
    <xf numFmtId="43" fontId="14" fillId="4" borderId="5" xfId="1" applyFont="1" applyFill="1" applyBorder="1"/>
    <xf numFmtId="43" fontId="14" fillId="4" borderId="6" xfId="1" applyFont="1" applyFill="1" applyBorder="1"/>
    <xf numFmtId="43" fontId="10" fillId="4" borderId="0" xfId="1" applyFont="1" applyFill="1" applyBorder="1"/>
    <xf numFmtId="12" fontId="14" fillId="4" borderId="0" xfId="1" applyNumberFormat="1" applyFont="1" applyFill="1" applyBorder="1"/>
    <xf numFmtId="43" fontId="14" fillId="4" borderId="7" xfId="1" applyFont="1" applyFill="1" applyBorder="1"/>
    <xf numFmtId="43" fontId="2" fillId="0" borderId="2" xfId="1" applyFont="1" applyFill="1" applyBorder="1" applyAlignment="1" applyProtection="1">
      <protection locked="0"/>
    </xf>
    <xf numFmtId="43" fontId="2" fillId="0" borderId="0" xfId="1" applyFont="1" applyFill="1" applyProtection="1">
      <protection locked="0"/>
    </xf>
    <xf numFmtId="43" fontId="2" fillId="0" borderId="8" xfId="1" applyFont="1" applyFill="1" applyBorder="1" applyAlignment="1" applyProtection="1">
      <protection locked="0"/>
    </xf>
    <xf numFmtId="43" fontId="2" fillId="0" borderId="9" xfId="1" applyFont="1" applyFill="1" applyBorder="1" applyAlignment="1" applyProtection="1">
      <alignment horizontal="right"/>
      <protection locked="0"/>
    </xf>
    <xf numFmtId="0" fontId="2" fillId="0" borderId="0" xfId="0" applyFont="1" applyFill="1" applyAlignment="1" applyProtection="1">
      <alignment horizontal="center"/>
      <protection locked="0"/>
    </xf>
    <xf numFmtId="43" fontId="2" fillId="0" borderId="8" xfId="1" applyFont="1" applyFill="1" applyBorder="1" applyAlignment="1" applyProtection="1"/>
    <xf numFmtId="43" fontId="2" fillId="0" borderId="2" xfId="1" applyFont="1" applyFill="1" applyBorder="1" applyAlignment="1" applyProtection="1"/>
    <xf numFmtId="43" fontId="2" fillId="0" borderId="2" xfId="1" applyFont="1" applyFill="1" applyBorder="1" applyProtection="1">
      <protection locked="0"/>
    </xf>
    <xf numFmtId="0" fontId="1" fillId="0" borderId="0" xfId="105"/>
    <xf numFmtId="0" fontId="1" fillId="0" borderId="0" xfId="105" applyAlignment="1">
      <alignment horizontal="center"/>
    </xf>
    <xf numFmtId="43" fontId="1" fillId="0" borderId="0" xfId="1"/>
    <xf numFmtId="43" fontId="1" fillId="0" borderId="0" xfId="1" applyAlignment="1">
      <alignment horizontal="center"/>
    </xf>
    <xf numFmtId="15" fontId="4" fillId="0" borderId="0" xfId="105" applyNumberFormat="1" applyFont="1" applyProtection="1">
      <protection locked="0"/>
    </xf>
    <xf numFmtId="0" fontId="4" fillId="0" borderId="0" xfId="105" applyFont="1"/>
    <xf numFmtId="0" fontId="4" fillId="0" borderId="0" xfId="105" applyFont="1" applyAlignment="1">
      <alignment horizontal="center"/>
    </xf>
    <xf numFmtId="0" fontId="6" fillId="0" borderId="0" xfId="105" applyFont="1"/>
    <xf numFmtId="43" fontId="4" fillId="0" borderId="0" xfId="1" applyFont="1"/>
    <xf numFmtId="43" fontId="4" fillId="0" borderId="0" xfId="1" applyFont="1" applyAlignment="1">
      <alignment horizontal="center"/>
    </xf>
    <xf numFmtId="43" fontId="6" fillId="0" borderId="0" xfId="1" applyFont="1"/>
    <xf numFmtId="43" fontId="6" fillId="0" borderId="0" xfId="1" applyFont="1" applyAlignment="1">
      <alignment horizontal="center"/>
    </xf>
    <xf numFmtId="0" fontId="25" fillId="0" borderId="0" xfId="105" applyFont="1"/>
    <xf numFmtId="43" fontId="2" fillId="0" borderId="0" xfId="1" applyFont="1"/>
    <xf numFmtId="0" fontId="2" fillId="0" borderId="0" xfId="105" applyFont="1"/>
    <xf numFmtId="43" fontId="2" fillId="0" borderId="0" xfId="1" applyFont="1" applyAlignment="1">
      <alignment horizontal="center"/>
    </xf>
    <xf numFmtId="0" fontId="26" fillId="0" borderId="10" xfId="105" applyFont="1" applyBorder="1"/>
    <xf numFmtId="0" fontId="26" fillId="0" borderId="11" xfId="105" applyFont="1" applyBorder="1"/>
    <xf numFmtId="0" fontId="26" fillId="0" borderId="12" xfId="105" applyFont="1" applyBorder="1"/>
    <xf numFmtId="0" fontId="26" fillId="0" borderId="13" xfId="105" applyFont="1" applyBorder="1" applyAlignment="1">
      <alignment horizontal="center"/>
    </xf>
    <xf numFmtId="0" fontId="26" fillId="0" borderId="14" xfId="105" applyFont="1" applyBorder="1" applyAlignment="1">
      <alignment horizontal="center"/>
    </xf>
    <xf numFmtId="0" fontId="26" fillId="0" borderId="15" xfId="105" applyFont="1" applyBorder="1" applyAlignment="1">
      <alignment horizontal="center"/>
    </xf>
    <xf numFmtId="16" fontId="26" fillId="0" borderId="15" xfId="105" quotePrefix="1" applyNumberFormat="1" applyFont="1" applyBorder="1" applyAlignment="1" applyProtection="1">
      <alignment horizontal="center"/>
      <protection locked="0"/>
    </xf>
    <xf numFmtId="0" fontId="26" fillId="0" borderId="15" xfId="105" quotePrefix="1" applyFont="1" applyBorder="1" applyAlignment="1" applyProtection="1">
      <alignment horizontal="center"/>
      <protection locked="0"/>
    </xf>
    <xf numFmtId="43" fontId="26" fillId="0" borderId="15" xfId="1" applyFont="1" applyBorder="1" applyAlignment="1">
      <alignment horizontal="center"/>
    </xf>
    <xf numFmtId="43" fontId="1" fillId="0" borderId="0" xfId="105" applyNumberFormat="1"/>
    <xf numFmtId="43" fontId="2" fillId="0" borderId="8" xfId="1" applyFont="1" applyFill="1" applyBorder="1" applyProtection="1">
      <protection locked="0"/>
    </xf>
    <xf numFmtId="43" fontId="40" fillId="4" borderId="0" xfId="1" applyFont="1" applyFill="1" applyBorder="1"/>
    <xf numFmtId="43" fontId="6" fillId="7" borderId="0" xfId="1" applyFont="1" applyFill="1" applyProtection="1">
      <protection locked="0"/>
    </xf>
    <xf numFmtId="43" fontId="14" fillId="0" borderId="7" xfId="1" applyFont="1" applyFill="1" applyBorder="1"/>
    <xf numFmtId="43" fontId="8" fillId="0" borderId="0" xfId="1" applyFont="1" applyFill="1"/>
    <xf numFmtId="43" fontId="12" fillId="8" borderId="0" xfId="1" applyFont="1" applyFill="1" applyBorder="1"/>
    <xf numFmtId="43" fontId="14" fillId="8" borderId="0" xfId="1" applyFont="1" applyFill="1" applyBorder="1"/>
    <xf numFmtId="43" fontId="10" fillId="8" borderId="5" xfId="1" applyFont="1" applyFill="1" applyBorder="1"/>
    <xf numFmtId="43" fontId="40" fillId="8" borderId="0" xfId="1" applyFont="1" applyFill="1" applyBorder="1"/>
    <xf numFmtId="43" fontId="14" fillId="8" borderId="5" xfId="1" applyFont="1" applyFill="1" applyBorder="1"/>
    <xf numFmtId="43" fontId="14" fillId="8" borderId="6" xfId="1" applyFont="1" applyFill="1" applyBorder="1"/>
    <xf numFmtId="43" fontId="10" fillId="8" borderId="0" xfId="1" applyFont="1" applyFill="1" applyBorder="1"/>
    <xf numFmtId="12" fontId="14" fillId="8" borderId="0" xfId="1" applyNumberFormat="1" applyFont="1" applyFill="1" applyBorder="1"/>
    <xf numFmtId="43" fontId="14" fillId="8" borderId="7" xfId="1" applyFont="1" applyFill="1" applyBorder="1"/>
    <xf numFmtId="0" fontId="41" fillId="0" borderId="0" xfId="105" applyFont="1"/>
    <xf numFmtId="43" fontId="41" fillId="0" borderId="0" xfId="1" applyFont="1"/>
    <xf numFmtId="0" fontId="42" fillId="0" borderId="0" xfId="105" applyFont="1"/>
    <xf numFmtId="43" fontId="42" fillId="0" borderId="0" xfId="1" applyFont="1"/>
    <xf numFmtId="0" fontId="25" fillId="0" borderId="0" xfId="105" applyFont="1" applyAlignment="1">
      <alignment horizontal="center"/>
    </xf>
    <xf numFmtId="43" fontId="25" fillId="0" borderId="0" xfId="1" applyFont="1" applyAlignment="1">
      <alignment horizontal="center"/>
    </xf>
    <xf numFmtId="0" fontId="26" fillId="0" borderId="12" xfId="105" applyFont="1" applyBorder="1" applyAlignment="1">
      <alignment horizontal="center"/>
    </xf>
    <xf numFmtId="43" fontId="26" fillId="0" borderId="12" xfId="1" applyFont="1" applyBorder="1" applyAlignment="1">
      <alignment horizontal="center"/>
    </xf>
    <xf numFmtId="43" fontId="2" fillId="0" borderId="0" xfId="1" applyFont="1" applyFill="1" applyProtection="1"/>
    <xf numFmtId="43" fontId="2" fillId="0" borderId="2" xfId="1" applyFont="1" applyFill="1" applyBorder="1" applyAlignment="1" applyProtection="1">
      <alignment horizontal="left"/>
      <protection locked="0"/>
    </xf>
    <xf numFmtId="43" fontId="2" fillId="0" borderId="2" xfId="1" applyFont="1" applyFill="1" applyBorder="1" applyAlignment="1" applyProtection="1">
      <alignment horizontal="center"/>
      <protection locked="0"/>
    </xf>
    <xf numFmtId="169" fontId="43" fillId="0" borderId="0" xfId="105" quotePrefix="1" applyNumberFormat="1" applyFont="1"/>
    <xf numFmtId="0" fontId="43" fillId="0" borderId="0" xfId="105" applyFont="1"/>
    <xf numFmtId="43" fontId="3" fillId="0" borderId="16" xfId="105" applyNumberFormat="1" applyFont="1" applyBorder="1" applyProtection="1"/>
    <xf numFmtId="0" fontId="1" fillId="0" borderId="17" xfId="105" applyFont="1" applyBorder="1" applyProtection="1"/>
    <xf numFmtId="0" fontId="1" fillId="0" borderId="1" xfId="105" applyBorder="1" applyAlignment="1" applyProtection="1">
      <alignment horizontal="center"/>
    </xf>
    <xf numFmtId="0" fontId="1" fillId="0" borderId="1" xfId="105" quotePrefix="1" applyBorder="1" applyAlignment="1" applyProtection="1">
      <alignment horizontal="center"/>
    </xf>
    <xf numFmtId="43" fontId="18" fillId="0" borderId="1" xfId="1" applyFont="1" applyFill="1" applyBorder="1" applyAlignment="1" applyProtection="1">
      <alignment horizontal="center"/>
    </xf>
    <xf numFmtId="43" fontId="27" fillId="0" borderId="1" xfId="1" applyFont="1" applyBorder="1" applyProtection="1"/>
    <xf numFmtId="43" fontId="1" fillId="0" borderId="1" xfId="1" applyFont="1" applyFill="1" applyBorder="1" applyProtection="1"/>
    <xf numFmtId="43" fontId="1" fillId="0" borderId="1" xfId="1" applyFont="1" applyBorder="1" applyProtection="1"/>
    <xf numFmtId="0" fontId="3" fillId="0" borderId="17" xfId="105" applyFont="1" applyBorder="1" applyProtection="1"/>
    <xf numFmtId="2" fontId="3" fillId="4" borderId="18" xfId="105" applyNumberFormat="1" applyFont="1" applyFill="1" applyBorder="1" applyAlignment="1" applyProtection="1">
      <alignment horizontal="center" vertical="center"/>
    </xf>
    <xf numFmtId="169" fontId="3" fillId="4" borderId="18" xfId="105" applyNumberFormat="1" applyFont="1" applyFill="1" applyBorder="1" applyAlignment="1" applyProtection="1">
      <alignment horizontal="center" vertical="center"/>
    </xf>
    <xf numFmtId="0" fontId="1" fillId="0" borderId="18" xfId="105" applyFont="1" applyBorder="1" applyAlignment="1" applyProtection="1">
      <alignment horizontal="center"/>
    </xf>
    <xf numFmtId="2" fontId="3" fillId="4" borderId="1" xfId="105" applyNumberFormat="1" applyFont="1" applyFill="1" applyBorder="1" applyAlignment="1" applyProtection="1">
      <alignment horizontal="center" vertical="center"/>
    </xf>
    <xf numFmtId="169" fontId="3" fillId="4" borderId="1" xfId="105" applyNumberFormat="1" applyFont="1" applyFill="1" applyBorder="1" applyAlignment="1" applyProtection="1">
      <alignment horizontal="center" vertical="center"/>
    </xf>
    <xf numFmtId="0" fontId="1" fillId="0" borderId="1" xfId="105" applyFont="1" applyBorder="1" applyAlignment="1" applyProtection="1">
      <alignment horizontal="center"/>
    </xf>
    <xf numFmtId="0" fontId="1" fillId="0" borderId="1" xfId="105" applyFont="1" applyBorder="1" applyProtection="1"/>
    <xf numFmtId="0" fontId="3" fillId="0" borderId="1" xfId="105" applyFont="1" applyBorder="1" applyProtection="1"/>
    <xf numFmtId="43" fontId="27" fillId="0" borderId="18" xfId="1" applyFont="1" applyBorder="1" applyProtection="1"/>
    <xf numFmtId="0" fontId="1" fillId="0" borderId="13" xfId="105" applyFont="1" applyBorder="1" applyProtection="1"/>
    <xf numFmtId="0" fontId="1" fillId="0" borderId="14" xfId="105" applyFont="1" applyBorder="1" applyProtection="1"/>
    <xf numFmtId="0" fontId="1" fillId="0" borderId="15" xfId="105" applyFont="1" applyBorder="1" applyAlignment="1" applyProtection="1">
      <alignment horizontal="center"/>
    </xf>
    <xf numFmtId="0" fontId="1" fillId="0" borderId="15" xfId="105" applyFont="1" applyBorder="1" applyProtection="1"/>
    <xf numFmtId="0" fontId="3" fillId="0" borderId="15" xfId="105" applyFont="1" applyBorder="1" applyProtection="1"/>
    <xf numFmtId="43" fontId="26" fillId="0" borderId="15" xfId="1" applyFont="1" applyBorder="1" applyProtection="1"/>
    <xf numFmtId="43" fontId="26" fillId="0" borderId="19" xfId="1" applyFont="1" applyBorder="1" applyProtection="1"/>
    <xf numFmtId="43" fontId="26" fillId="0" borderId="20" xfId="1" applyFont="1" applyBorder="1" applyProtection="1"/>
    <xf numFmtId="43" fontId="26" fillId="0" borderId="21" xfId="1" applyFont="1" applyBorder="1" applyAlignment="1" applyProtection="1">
      <alignment horizontal="center"/>
    </xf>
    <xf numFmtId="43" fontId="26" fillId="0" borderId="21" xfId="1" applyFont="1" applyBorder="1" applyProtection="1"/>
    <xf numFmtId="43" fontId="17" fillId="0" borderId="21" xfId="1" applyFont="1" applyBorder="1" applyProtection="1"/>
    <xf numFmtId="0" fontId="1" fillId="0" borderId="0" xfId="105" applyProtection="1"/>
    <xf numFmtId="0" fontId="1" fillId="0" borderId="0" xfId="105" applyAlignment="1" applyProtection="1">
      <alignment horizontal="center"/>
    </xf>
    <xf numFmtId="0" fontId="28" fillId="0" borderId="0" xfId="105" applyFont="1" applyProtection="1"/>
    <xf numFmtId="43" fontId="28" fillId="0" borderId="0" xfId="1" applyFont="1" applyProtection="1"/>
    <xf numFmtId="43" fontId="1" fillId="0" borderId="0" xfId="1" applyProtection="1"/>
    <xf numFmtId="43" fontId="1" fillId="0" borderId="0" xfId="1" applyAlignment="1" applyProtection="1">
      <alignment horizontal="center"/>
    </xf>
    <xf numFmtId="0" fontId="44" fillId="0" borderId="0" xfId="105" applyFont="1" applyProtection="1"/>
    <xf numFmtId="0" fontId="44" fillId="0" borderId="0" xfId="105" applyFont="1" applyAlignment="1" applyProtection="1">
      <alignment horizontal="center"/>
    </xf>
    <xf numFmtId="0" fontId="42" fillId="0" borderId="0" xfId="105" applyFont="1" applyProtection="1"/>
    <xf numFmtId="43" fontId="42" fillId="0" borderId="0" xfId="1" applyFont="1" applyProtection="1"/>
    <xf numFmtId="43" fontId="44" fillId="0" borderId="0" xfId="1" applyFont="1" applyProtection="1"/>
    <xf numFmtId="43" fontId="44" fillId="0" borderId="0" xfId="105" applyNumberFormat="1" applyFont="1" applyProtection="1"/>
    <xf numFmtId="43" fontId="44" fillId="0" borderId="0" xfId="1" applyFont="1" applyAlignment="1" applyProtection="1">
      <alignment horizontal="center"/>
    </xf>
    <xf numFmtId="0" fontId="41" fillId="0" borderId="0" xfId="105" applyFont="1" applyProtection="1"/>
    <xf numFmtId="0" fontId="41" fillId="0" borderId="0" xfId="105" applyFont="1" applyAlignment="1" applyProtection="1">
      <alignment horizontal="center"/>
    </xf>
    <xf numFmtId="43" fontId="41" fillId="0" borderId="0" xfId="1" applyFont="1" applyProtection="1"/>
    <xf numFmtId="43" fontId="41" fillId="0" borderId="0" xfId="1" applyFont="1" applyAlignment="1" applyProtection="1">
      <alignment horizontal="center"/>
    </xf>
    <xf numFmtId="43" fontId="2" fillId="0" borderId="22" xfId="1" applyFont="1" applyFill="1" applyBorder="1" applyAlignment="1" applyProtection="1">
      <protection locked="0"/>
    </xf>
    <xf numFmtId="43" fontId="2" fillId="0" borderId="23" xfId="1" applyFont="1" applyFill="1" applyBorder="1" applyAlignment="1" applyProtection="1">
      <alignment horizontal="left"/>
      <protection locked="0"/>
    </xf>
    <xf numFmtId="0" fontId="5" fillId="0" borderId="0" xfId="59" applyFont="1" applyFill="1" applyProtection="1">
      <protection locked="0"/>
    </xf>
    <xf numFmtId="0" fontId="5" fillId="5" borderId="0" xfId="59" applyFont="1" applyFill="1" applyProtection="1">
      <protection locked="0"/>
    </xf>
    <xf numFmtId="0" fontId="1" fillId="0" borderId="0" xfId="59" applyFont="1" applyFill="1" applyProtection="1">
      <protection locked="0"/>
    </xf>
    <xf numFmtId="0" fontId="1" fillId="0" borderId="0" xfId="59" applyFont="1" applyFill="1" applyAlignment="1" applyProtection="1">
      <alignment horizontal="center"/>
      <protection locked="0"/>
    </xf>
    <xf numFmtId="16" fontId="1" fillId="0" borderId="0" xfId="59" applyNumberFormat="1" applyFont="1" applyFill="1" applyProtection="1">
      <protection locked="0"/>
    </xf>
    <xf numFmtId="0" fontId="2" fillId="0" borderId="24" xfId="59" applyFont="1" applyFill="1" applyBorder="1" applyAlignment="1" applyProtection="1">
      <alignment horizontal="center"/>
      <protection locked="0"/>
    </xf>
    <xf numFmtId="164" fontId="2" fillId="0" borderId="23" xfId="1" applyNumberFormat="1" applyFont="1" applyFill="1" applyBorder="1" applyAlignment="1" applyProtection="1">
      <alignment horizontal="center"/>
    </xf>
    <xf numFmtId="2" fontId="2" fillId="0" borderId="23" xfId="1" applyNumberFormat="1" applyFont="1" applyFill="1" applyBorder="1" applyAlignment="1" applyProtection="1">
      <alignment horizontal="center"/>
      <protection locked="0"/>
    </xf>
    <xf numFmtId="43" fontId="2" fillId="0" borderId="23" xfId="1" applyFont="1" applyFill="1" applyBorder="1" applyAlignment="1" applyProtection="1">
      <alignment horizontal="center"/>
    </xf>
    <xf numFmtId="43" fontId="2" fillId="0" borderId="8" xfId="1" applyFont="1" applyFill="1" applyBorder="1" applyAlignment="1" applyProtection="1">
      <alignment horizontal="center"/>
      <protection locked="0"/>
    </xf>
    <xf numFmtId="43" fontId="2" fillId="0" borderId="23" xfId="1" applyFont="1" applyFill="1" applyBorder="1" applyAlignment="1" applyProtection="1">
      <alignment horizontal="center"/>
      <protection locked="0"/>
    </xf>
    <xf numFmtId="43" fontId="2" fillId="0" borderId="23" xfId="1" applyFont="1" applyFill="1" applyBorder="1" applyAlignment="1" applyProtection="1"/>
    <xf numFmtId="43" fontId="2" fillId="0" borderId="23" xfId="1" applyFont="1" applyFill="1" applyBorder="1" applyAlignment="1" applyProtection="1">
      <protection locked="0"/>
    </xf>
    <xf numFmtId="43" fontId="2" fillId="0" borderId="25" xfId="1" applyFont="1" applyFill="1" applyBorder="1" applyAlignment="1" applyProtection="1"/>
    <xf numFmtId="0" fontId="2" fillId="0" borderId="0" xfId="59" applyFont="1" applyFill="1" applyProtection="1">
      <protection locked="0"/>
    </xf>
    <xf numFmtId="0" fontId="2" fillId="0" borderId="26" xfId="59" applyFont="1" applyFill="1" applyBorder="1" applyAlignment="1" applyProtection="1">
      <alignment horizontal="center"/>
      <protection locked="0"/>
    </xf>
    <xf numFmtId="2" fontId="2" fillId="0" borderId="2" xfId="1" applyNumberFormat="1" applyFont="1" applyFill="1" applyBorder="1" applyAlignment="1" applyProtection="1">
      <alignment horizontal="center"/>
      <protection locked="0"/>
    </xf>
    <xf numFmtId="43" fontId="2" fillId="0" borderId="2" xfId="1" applyFont="1" applyFill="1" applyBorder="1" applyAlignment="1" applyProtection="1">
      <alignment horizontal="center"/>
    </xf>
    <xf numFmtId="0" fontId="2" fillId="0" borderId="0" xfId="59" applyFont="1" applyFill="1" applyAlignment="1" applyProtection="1">
      <protection locked="0"/>
    </xf>
    <xf numFmtId="0" fontId="2" fillId="0" borderId="2" xfId="59" applyFont="1" applyFill="1" applyBorder="1" applyProtection="1">
      <protection locked="0"/>
    </xf>
    <xf numFmtId="0" fontId="2" fillId="0" borderId="2" xfId="59" applyFont="1" applyFill="1" applyBorder="1" applyAlignment="1" applyProtection="1">
      <alignment horizontal="center"/>
      <protection locked="0"/>
    </xf>
    <xf numFmtId="0" fontId="2" fillId="0" borderId="2" xfId="1" applyNumberFormat="1" applyFont="1" applyFill="1" applyBorder="1" applyAlignment="1" applyProtection="1">
      <alignment horizontal="center"/>
      <protection locked="0"/>
    </xf>
    <xf numFmtId="0" fontId="2" fillId="0" borderId="27" xfId="59" applyFont="1" applyFill="1" applyBorder="1" applyProtection="1">
      <protection locked="0"/>
    </xf>
    <xf numFmtId="0" fontId="6" fillId="0" borderId="3" xfId="59" applyFont="1" applyFill="1" applyBorder="1" applyProtection="1">
      <protection locked="0"/>
    </xf>
    <xf numFmtId="0" fontId="6" fillId="0" borderId="3" xfId="59" applyFont="1" applyFill="1" applyBorder="1" applyAlignment="1" applyProtection="1">
      <alignment horizontal="center"/>
      <protection locked="0"/>
    </xf>
    <xf numFmtId="0" fontId="2" fillId="0" borderId="0" xfId="59" applyFont="1" applyFill="1" applyBorder="1" applyProtection="1">
      <protection locked="0"/>
    </xf>
    <xf numFmtId="0" fontId="6" fillId="0" borderId="0" xfId="59" applyFont="1" applyFill="1" applyBorder="1" applyProtection="1">
      <protection locked="0"/>
    </xf>
    <xf numFmtId="0" fontId="6" fillId="0" borderId="0" xfId="59" applyFont="1" applyFill="1" applyBorder="1" applyAlignment="1" applyProtection="1">
      <alignment horizontal="center"/>
      <protection locked="0"/>
    </xf>
    <xf numFmtId="0" fontId="2" fillId="7" borderId="0" xfId="59" applyFont="1" applyFill="1" applyAlignment="1" applyProtection="1">
      <alignment horizontal="center" vertical="center"/>
    </xf>
    <xf numFmtId="0" fontId="2" fillId="0" borderId="28" xfId="59" applyFont="1" applyFill="1" applyBorder="1" applyAlignment="1" applyProtection="1">
      <alignment horizontal="center"/>
      <protection locked="0"/>
    </xf>
    <xf numFmtId="43" fontId="2" fillId="0" borderId="8" xfId="1" applyFont="1" applyFill="1" applyBorder="1" applyAlignment="1" applyProtection="1">
      <alignment horizontal="center"/>
    </xf>
    <xf numFmtId="43" fontId="2" fillId="0" borderId="8" xfId="59" applyNumberFormat="1" applyFont="1" applyFill="1" applyBorder="1" applyProtection="1">
      <protection locked="0"/>
    </xf>
    <xf numFmtId="43" fontId="2" fillId="0" borderId="29" xfId="1" applyFont="1" applyFill="1" applyBorder="1" applyAlignment="1" applyProtection="1">
      <alignment horizontal="right"/>
      <protection locked="0"/>
    </xf>
    <xf numFmtId="43" fontId="2" fillId="0" borderId="30" xfId="1" applyFont="1" applyFill="1" applyBorder="1" applyAlignment="1" applyProtection="1">
      <protection locked="0"/>
    </xf>
    <xf numFmtId="164" fontId="2" fillId="0" borderId="31" xfId="59" applyNumberFormat="1" applyFont="1" applyFill="1" applyBorder="1" applyProtection="1"/>
    <xf numFmtId="2" fontId="2" fillId="0" borderId="2" xfId="59" applyNumberFormat="1" applyFont="1" applyFill="1" applyBorder="1" applyAlignment="1" applyProtection="1">
      <alignment horizontal="center"/>
      <protection locked="0"/>
    </xf>
    <xf numFmtId="0" fontId="2" fillId="0" borderId="26" xfId="59" applyFont="1" applyFill="1" applyBorder="1" applyProtection="1">
      <protection locked="0"/>
    </xf>
    <xf numFmtId="0" fontId="6" fillId="0" borderId="27" xfId="59" applyFont="1" applyFill="1" applyBorder="1" applyProtection="1">
      <protection locked="0"/>
    </xf>
    <xf numFmtId="0" fontId="6" fillId="0" borderId="0" xfId="59" applyFont="1" applyFill="1" applyProtection="1">
      <protection locked="0"/>
    </xf>
    <xf numFmtId="0" fontId="6" fillId="7" borderId="0" xfId="59" applyFont="1" applyFill="1" applyProtection="1">
      <protection locked="0"/>
    </xf>
    <xf numFmtId="164" fontId="1" fillId="0" borderId="0" xfId="59" applyNumberFormat="1" applyFont="1" applyFill="1" applyProtection="1">
      <protection locked="0"/>
    </xf>
    <xf numFmtId="43" fontId="1" fillId="0" borderId="0" xfId="59" applyNumberFormat="1" applyFont="1" applyFill="1" applyProtection="1">
      <protection locked="0"/>
    </xf>
    <xf numFmtId="164" fontId="1" fillId="0" borderId="0" xfId="59" applyNumberFormat="1" applyFont="1" applyFill="1" applyProtection="1"/>
    <xf numFmtId="0" fontId="30" fillId="0" borderId="0" xfId="59" applyFont="1" applyFill="1" applyProtection="1">
      <protection locked="0"/>
    </xf>
    <xf numFmtId="0" fontId="1" fillId="0" borderId="0" xfId="59" applyFont="1" applyFill="1" applyProtection="1"/>
    <xf numFmtId="43" fontId="45" fillId="0" borderId="0" xfId="59" applyNumberFormat="1" applyFont="1" applyFill="1" applyProtection="1"/>
    <xf numFmtId="0" fontId="8" fillId="0" borderId="0" xfId="59" applyFont="1"/>
    <xf numFmtId="0" fontId="41" fillId="0" borderId="0" xfId="59" applyFont="1" applyFill="1"/>
    <xf numFmtId="0" fontId="8" fillId="0" borderId="0" xfId="59" applyFont="1" applyFill="1"/>
    <xf numFmtId="0" fontId="41" fillId="0" borderId="0" xfId="59" applyFont="1"/>
    <xf numFmtId="0" fontId="9" fillId="0" borderId="0" xfId="59" applyFont="1"/>
    <xf numFmtId="0" fontId="45" fillId="9" borderId="0" xfId="59" applyFont="1" applyFill="1"/>
    <xf numFmtId="0" fontId="46" fillId="0" borderId="0" xfId="59" applyFont="1"/>
    <xf numFmtId="0" fontId="47" fillId="10" borderId="0" xfId="59" applyFont="1" applyFill="1"/>
    <xf numFmtId="0" fontId="10" fillId="4" borderId="0" xfId="59" applyFont="1" applyFill="1"/>
    <xf numFmtId="0" fontId="8" fillId="0" borderId="0" xfId="59" applyFont="1" applyBorder="1"/>
    <xf numFmtId="0" fontId="45" fillId="9" borderId="0" xfId="59" applyFont="1" applyFill="1" applyBorder="1"/>
    <xf numFmtId="0" fontId="46" fillId="0" borderId="0" xfId="59" applyFont="1" applyBorder="1"/>
    <xf numFmtId="0" fontId="47" fillId="10" borderId="0" xfId="59" applyFont="1" applyFill="1" applyBorder="1"/>
    <xf numFmtId="0" fontId="12" fillId="8" borderId="32" xfId="59" applyFont="1" applyFill="1" applyBorder="1"/>
    <xf numFmtId="0" fontId="12" fillId="8" borderId="0" xfId="59" applyFont="1" applyFill="1" applyBorder="1"/>
    <xf numFmtId="0" fontId="12" fillId="8" borderId="5" xfId="59" applyFont="1" applyFill="1" applyBorder="1"/>
    <xf numFmtId="0" fontId="12" fillId="4" borderId="0" xfId="59" applyFont="1" applyFill="1"/>
    <xf numFmtId="0" fontId="11" fillId="0" borderId="0" xfId="59" applyFont="1"/>
    <xf numFmtId="0" fontId="48" fillId="9" borderId="0" xfId="59" applyFont="1" applyFill="1"/>
    <xf numFmtId="0" fontId="49" fillId="0" borderId="0" xfId="59" applyFont="1"/>
    <xf numFmtId="0" fontId="49" fillId="10" borderId="0" xfId="59" applyFont="1" applyFill="1"/>
    <xf numFmtId="0" fontId="46" fillId="10" borderId="0" xfId="59" applyFont="1" applyFill="1"/>
    <xf numFmtId="0" fontId="14" fillId="8" borderId="32" xfId="59" applyFont="1" applyFill="1" applyBorder="1"/>
    <xf numFmtId="14" fontId="10" fillId="8" borderId="0" xfId="59" applyNumberFormat="1" applyFont="1" applyFill="1" applyBorder="1"/>
    <xf numFmtId="0" fontId="14" fillId="8" borderId="5" xfId="59" applyFont="1" applyFill="1" applyBorder="1"/>
    <xf numFmtId="0" fontId="14" fillId="4" borderId="0" xfId="59" applyFont="1" applyFill="1"/>
    <xf numFmtId="0" fontId="10" fillId="8" borderId="5" xfId="59" applyFont="1" applyFill="1" applyBorder="1" applyAlignment="1">
      <alignment horizontal="center"/>
    </xf>
    <xf numFmtId="0" fontId="10" fillId="8" borderId="32" xfId="59" applyFont="1" applyFill="1" applyBorder="1"/>
    <xf numFmtId="0" fontId="14" fillId="8" borderId="0" xfId="59" applyFont="1" applyFill="1" applyBorder="1"/>
    <xf numFmtId="15" fontId="14" fillId="8" borderId="0" xfId="59" applyNumberFormat="1" applyFont="1" applyFill="1" applyBorder="1"/>
    <xf numFmtId="0" fontId="12" fillId="8" borderId="0" xfId="59" applyFont="1" applyFill="1" applyBorder="1" applyAlignment="1">
      <alignment horizontal="center"/>
    </xf>
    <xf numFmtId="0" fontId="9" fillId="8" borderId="0" xfId="59" applyFont="1" applyFill="1" applyBorder="1"/>
    <xf numFmtId="2" fontId="40" fillId="8" borderId="0" xfId="59" applyNumberFormat="1" applyFont="1" applyFill="1" applyBorder="1" applyAlignment="1">
      <alignment horizontal="center"/>
    </xf>
    <xf numFmtId="2" fontId="40" fillId="4" borderId="0" xfId="59" applyNumberFormat="1" applyFont="1" applyFill="1" applyBorder="1" applyAlignment="1">
      <alignment horizontal="center"/>
    </xf>
    <xf numFmtId="9" fontId="15" fillId="8" borderId="0" xfId="59" applyNumberFormat="1" applyFont="1" applyFill="1" applyBorder="1" applyAlignment="1">
      <alignment horizontal="left"/>
    </xf>
    <xf numFmtId="0" fontId="16" fillId="8" borderId="0" xfId="59" applyFont="1" applyFill="1" applyBorder="1" applyAlignment="1">
      <alignment horizontal="center"/>
    </xf>
    <xf numFmtId="0" fontId="15" fillId="8" borderId="0" xfId="59" applyFont="1" applyFill="1" applyBorder="1"/>
    <xf numFmtId="43" fontId="14" fillId="8" borderId="5" xfId="59" applyNumberFormat="1" applyFont="1" applyFill="1" applyBorder="1"/>
    <xf numFmtId="43" fontId="8" fillId="0" borderId="0" xfId="59" applyNumberFormat="1" applyFont="1" applyBorder="1"/>
    <xf numFmtId="43" fontId="14" fillId="8" borderId="5" xfId="59" applyNumberFormat="1" applyFont="1" applyFill="1" applyBorder="1" applyAlignment="1">
      <alignment horizontal="center"/>
    </xf>
    <xf numFmtId="43" fontId="11" fillId="0" borderId="0" xfId="59" applyNumberFormat="1" applyFont="1"/>
    <xf numFmtId="43" fontId="14" fillId="8" borderId="33" xfId="59" applyNumberFormat="1" applyFont="1" applyFill="1" applyBorder="1" applyAlignment="1">
      <alignment horizontal="center"/>
    </xf>
    <xf numFmtId="0" fontId="10" fillId="8" borderId="0" xfId="59" applyFont="1" applyFill="1" applyBorder="1"/>
    <xf numFmtId="43" fontId="10" fillId="8" borderId="34" xfId="59" applyNumberFormat="1" applyFont="1" applyFill="1" applyBorder="1"/>
    <xf numFmtId="43" fontId="10" fillId="4" borderId="0" xfId="59" applyNumberFormat="1" applyFont="1" applyFill="1"/>
    <xf numFmtId="43" fontId="8" fillId="0" borderId="0" xfId="59" applyNumberFormat="1" applyFont="1"/>
    <xf numFmtId="43" fontId="45" fillId="9" borderId="0" xfId="59" applyNumberFormat="1" applyFont="1" applyFill="1"/>
    <xf numFmtId="0" fontId="46" fillId="7" borderId="0" xfId="59" applyFont="1" applyFill="1"/>
    <xf numFmtId="43" fontId="46" fillId="10" borderId="0" xfId="59" applyNumberFormat="1" applyFont="1" applyFill="1"/>
    <xf numFmtId="0" fontId="9" fillId="4" borderId="0" xfId="59" applyFont="1" applyFill="1"/>
    <xf numFmtId="0" fontId="14" fillId="0" borderId="35" xfId="59" applyFont="1" applyFill="1" applyBorder="1"/>
    <xf numFmtId="0" fontId="14" fillId="0" borderId="7" xfId="59" applyFont="1" applyFill="1" applyBorder="1"/>
    <xf numFmtId="0" fontId="14" fillId="0" borderId="36" xfId="59" applyFont="1" applyFill="1" applyBorder="1"/>
    <xf numFmtId="0" fontId="8" fillId="4" borderId="0" xfId="59" applyFont="1" applyFill="1"/>
    <xf numFmtId="0" fontId="14" fillId="4" borderId="35" xfId="59" applyFont="1" applyFill="1" applyBorder="1"/>
    <xf numFmtId="0" fontId="14" fillId="4" borderId="7" xfId="59" applyFont="1" applyFill="1" applyBorder="1"/>
    <xf numFmtId="0" fontId="14" fillId="4" borderId="36" xfId="59" applyFont="1" applyFill="1" applyBorder="1"/>
    <xf numFmtId="0" fontId="8" fillId="0" borderId="0" xfId="59" applyFont="1" applyFill="1" applyAlignment="1">
      <alignment horizontal="center"/>
    </xf>
    <xf numFmtId="0" fontId="8" fillId="0" borderId="0" xfId="59" applyFont="1" applyAlignment="1">
      <alignment horizontal="center"/>
    </xf>
    <xf numFmtId="0" fontId="14" fillId="8" borderId="35" xfId="59" applyFont="1" applyFill="1" applyBorder="1"/>
    <xf numFmtId="0" fontId="14" fillId="8" borderId="7" xfId="59" applyFont="1" applyFill="1" applyBorder="1"/>
    <xf numFmtId="0" fontId="14" fillId="8" borderId="36" xfId="59" applyFont="1" applyFill="1" applyBorder="1"/>
    <xf numFmtId="0" fontId="10" fillId="4" borderId="37" xfId="59" applyFont="1" applyFill="1" applyBorder="1"/>
    <xf numFmtId="43" fontId="2" fillId="0" borderId="2" xfId="8" applyFont="1" applyFill="1" applyBorder="1" applyAlignment="1" applyProtection="1"/>
    <xf numFmtId="43" fontId="1" fillId="0" borderId="18" xfId="1" applyFont="1" applyBorder="1" applyProtection="1"/>
    <xf numFmtId="0" fontId="10" fillId="8" borderId="5" xfId="59" applyFont="1" applyFill="1" applyBorder="1" applyAlignment="1">
      <alignment horizontal="center"/>
    </xf>
    <xf numFmtId="43" fontId="2" fillId="0" borderId="38" xfId="1" applyFont="1" applyFill="1" applyBorder="1" applyAlignment="1" applyProtection="1">
      <protection locked="0"/>
    </xf>
    <xf numFmtId="43" fontId="47" fillId="10" borderId="0" xfId="59" applyNumberFormat="1" applyFont="1" applyFill="1"/>
    <xf numFmtId="0" fontId="4" fillId="0" borderId="0" xfId="59" applyFont="1" applyFill="1" applyProtection="1">
      <protection locked="0"/>
    </xf>
    <xf numFmtId="0" fontId="4" fillId="0" borderId="0" xfId="59" applyFont="1" applyFill="1" applyAlignment="1" applyProtection="1">
      <alignment horizontal="center"/>
      <protection locked="0"/>
    </xf>
    <xf numFmtId="15" fontId="4" fillId="0" borderId="0" xfId="59" applyNumberFormat="1" applyFont="1" applyFill="1" applyProtection="1">
      <protection locked="0"/>
    </xf>
    <xf numFmtId="0" fontId="4" fillId="0" borderId="0" xfId="59" applyFont="1" applyFill="1" applyAlignment="1" applyProtection="1">
      <alignment horizontal="left"/>
      <protection locked="0"/>
    </xf>
    <xf numFmtId="0" fontId="29" fillId="5" borderId="3" xfId="59" applyFont="1" applyFill="1" applyBorder="1" applyAlignment="1" applyProtection="1">
      <alignment horizontal="center" vertical="center" wrapText="1"/>
      <protection locked="0"/>
    </xf>
    <xf numFmtId="0" fontId="2" fillId="5" borderId="39" xfId="0" applyFont="1" applyFill="1" applyBorder="1" applyAlignment="1" applyProtection="1">
      <alignment horizontal="center" vertical="center" wrapText="1"/>
      <protection locked="0"/>
    </xf>
    <xf numFmtId="0" fontId="2" fillId="7" borderId="0" xfId="59" applyFont="1" applyFill="1" applyProtection="1">
      <protection locked="0"/>
    </xf>
    <xf numFmtId="0" fontId="6" fillId="5" borderId="40" xfId="59" applyFont="1" applyFill="1" applyBorder="1" applyAlignment="1" applyProtection="1">
      <alignment horizontal="center" vertical="center" wrapText="1"/>
      <protection locked="0"/>
    </xf>
    <xf numFmtId="0" fontId="6" fillId="5" borderId="41" xfId="59" applyFont="1" applyFill="1" applyBorder="1" applyAlignment="1" applyProtection="1">
      <alignment horizontal="center" vertical="center" wrapText="1"/>
      <protection locked="0"/>
    </xf>
    <xf numFmtId="43" fontId="2" fillId="0" borderId="30" xfId="1" applyFont="1" applyFill="1" applyBorder="1" applyAlignment="1" applyProtection="1">
      <alignment horizontal="left"/>
      <protection locked="0"/>
    </xf>
    <xf numFmtId="43" fontId="2" fillId="0" borderId="22" xfId="1" applyFont="1" applyFill="1" applyBorder="1" applyAlignment="1" applyProtection="1">
      <alignment horizontal="left"/>
      <protection locked="0"/>
    </xf>
    <xf numFmtId="0" fontId="6" fillId="7" borderId="0" xfId="59" applyFont="1" applyFill="1" applyAlignment="1" applyProtection="1">
      <alignment horizontal="center"/>
    </xf>
    <xf numFmtId="0" fontId="2" fillId="0" borderId="0" xfId="59" applyFont="1" applyFill="1" applyAlignment="1" applyProtection="1">
      <alignment horizontal="center"/>
    </xf>
    <xf numFmtId="43" fontId="26" fillId="0" borderId="42" xfId="1" applyFont="1" applyBorder="1" applyAlignment="1">
      <alignment horizontal="center"/>
    </xf>
    <xf numFmtId="43" fontId="26" fillId="0" borderId="43" xfId="1" applyFont="1" applyBorder="1" applyAlignment="1">
      <alignment horizontal="center"/>
    </xf>
    <xf numFmtId="43" fontId="1" fillId="0" borderId="44" xfId="1" applyFont="1" applyBorder="1" applyAlignment="1" applyProtection="1">
      <alignment horizontal="center"/>
    </xf>
    <xf numFmtId="0" fontId="26" fillId="0" borderId="45" xfId="105" applyFont="1" applyBorder="1" applyAlignment="1">
      <alignment horizontal="center"/>
    </xf>
    <xf numFmtId="43" fontId="1" fillId="0" borderId="46" xfId="1" applyFont="1" applyBorder="1" applyProtection="1"/>
    <xf numFmtId="43" fontId="1" fillId="0" borderId="47" xfId="1" applyFont="1" applyBorder="1" applyProtection="1"/>
    <xf numFmtId="43" fontId="1" fillId="0" borderId="16" xfId="1" applyFont="1" applyBorder="1" applyProtection="1"/>
    <xf numFmtId="43" fontId="1" fillId="0" borderId="48" xfId="1" applyFont="1" applyBorder="1" applyProtection="1"/>
    <xf numFmtId="43" fontId="26" fillId="0" borderId="49" xfId="1" applyFont="1" applyBorder="1" applyProtection="1"/>
    <xf numFmtId="43" fontId="26" fillId="0" borderId="50" xfId="1" applyFont="1" applyBorder="1" applyProtection="1"/>
    <xf numFmtId="0" fontId="1" fillId="0" borderId="0" xfId="105" applyAlignment="1" applyProtection="1">
      <alignment horizontal="center" vertical="center" wrapText="1"/>
    </xf>
    <xf numFmtId="43" fontId="1" fillId="0" borderId="0" xfId="1" applyAlignment="1" applyProtection="1">
      <alignment horizontal="center" vertical="center" wrapText="1"/>
    </xf>
    <xf numFmtId="43" fontId="1" fillId="0" borderId="0" xfId="105" applyNumberFormat="1" applyProtection="1"/>
    <xf numFmtId="43" fontId="50" fillId="11" borderId="0" xfId="105" applyNumberFormat="1" applyFont="1" applyFill="1" applyProtection="1"/>
    <xf numFmtId="0" fontId="1" fillId="0" borderId="0" xfId="105" applyFill="1" applyProtection="1"/>
    <xf numFmtId="43" fontId="1" fillId="0" borderId="0" xfId="1" applyFill="1" applyAlignment="1" applyProtection="1">
      <alignment horizontal="center"/>
    </xf>
    <xf numFmtId="43" fontId="1" fillId="0" borderId="0" xfId="1" applyFill="1" applyProtection="1"/>
    <xf numFmtId="43" fontId="51" fillId="12" borderId="0" xfId="105" applyNumberFormat="1" applyFont="1" applyFill="1" applyProtection="1"/>
    <xf numFmtId="43" fontId="1" fillId="0" borderId="0" xfId="1" quotePrefix="1" applyProtection="1"/>
    <xf numFmtId="43" fontId="50" fillId="12" borderId="0" xfId="1" applyFont="1" applyFill="1" applyProtection="1"/>
    <xf numFmtId="43" fontId="1" fillId="13" borderId="0" xfId="1" applyFill="1" applyProtection="1">
      <protection locked="0"/>
    </xf>
    <xf numFmtId="1" fontId="5" fillId="0" borderId="0" xfId="59" applyNumberFormat="1" applyFont="1" applyFill="1" applyProtection="1">
      <protection locked="0"/>
    </xf>
    <xf numFmtId="43" fontId="2" fillId="0" borderId="0" xfId="59" applyNumberFormat="1" applyFont="1" applyFill="1" applyProtection="1">
      <protection locked="0"/>
    </xf>
    <xf numFmtId="43" fontId="52" fillId="0" borderId="0" xfId="59" applyNumberFormat="1" applyFont="1" applyFill="1" applyProtection="1">
      <protection locked="0"/>
    </xf>
    <xf numFmtId="43" fontId="6" fillId="0" borderId="3" xfId="59" applyNumberFormat="1" applyFont="1" applyFill="1" applyBorder="1" applyAlignment="1" applyProtection="1">
      <alignment horizontal="center"/>
      <protection locked="0"/>
    </xf>
    <xf numFmtId="0" fontId="53" fillId="0" borderId="0" xfId="34" applyFont="1" applyBorder="1" applyAlignment="1"/>
    <xf numFmtId="170" fontId="53" fillId="0" borderId="0" xfId="34" applyNumberFormat="1" applyFont="1" applyBorder="1" applyAlignment="1">
      <alignment vertical="center"/>
    </xf>
    <xf numFmtId="0" fontId="53" fillId="0" borderId="0" xfId="34" applyFont="1" applyBorder="1" applyAlignment="1">
      <alignment vertical="center"/>
    </xf>
    <xf numFmtId="0" fontId="54" fillId="0" borderId="0" xfId="34" applyFont="1" applyBorder="1" applyAlignment="1">
      <alignment vertical="center"/>
    </xf>
    <xf numFmtId="170" fontId="55" fillId="14" borderId="0" xfId="34" applyNumberFormat="1" applyFont="1" applyFill="1" applyBorder="1" applyAlignment="1">
      <alignment vertical="center"/>
    </xf>
    <xf numFmtId="0" fontId="55" fillId="14" borderId="0" xfId="34" applyFont="1" applyFill="1" applyBorder="1" applyAlignment="1">
      <alignment vertical="center"/>
    </xf>
    <xf numFmtId="171" fontId="56" fillId="6" borderId="84" xfId="2" applyNumberFormat="1" applyFont="1" applyFill="1" applyBorder="1" applyAlignment="1">
      <alignment horizontal="center" vertical="center" wrapText="1"/>
    </xf>
    <xf numFmtId="171" fontId="56" fillId="6" borderId="85" xfId="2" applyNumberFormat="1" applyFont="1" applyFill="1" applyBorder="1" applyAlignment="1">
      <alignment horizontal="center" vertical="center" wrapText="1"/>
    </xf>
    <xf numFmtId="171" fontId="57" fillId="6" borderId="84" xfId="2" applyNumberFormat="1" applyFont="1" applyFill="1" applyBorder="1" applyAlignment="1">
      <alignment horizontal="center" vertical="center" wrapText="1"/>
    </xf>
    <xf numFmtId="0" fontId="58" fillId="14" borderId="0" xfId="34" applyFont="1" applyFill="1" applyBorder="1" applyAlignment="1">
      <alignment vertical="center"/>
    </xf>
    <xf numFmtId="18" fontId="53" fillId="15" borderId="0" xfId="34" applyNumberFormat="1" applyFont="1" applyFill="1" applyBorder="1" applyAlignment="1">
      <alignment horizontal="center" vertical="center"/>
    </xf>
    <xf numFmtId="18" fontId="53" fillId="16" borderId="0" xfId="34" applyNumberFormat="1" applyFont="1" applyFill="1" applyBorder="1" applyAlignment="1">
      <alignment horizontal="center" vertical="center"/>
    </xf>
    <xf numFmtId="18" fontId="52" fillId="16" borderId="0" xfId="34" applyNumberFormat="1" applyFont="1" applyFill="1" applyBorder="1" applyAlignment="1">
      <alignment horizontal="center" vertical="center"/>
    </xf>
    <xf numFmtId="0" fontId="53" fillId="15" borderId="0" xfId="34" applyFont="1" applyFill="1" applyBorder="1" applyAlignment="1">
      <alignment horizontal="center" vertical="center"/>
    </xf>
    <xf numFmtId="0" fontId="52" fillId="15" borderId="0" xfId="34" applyFont="1" applyFill="1" applyBorder="1" applyAlignment="1">
      <alignment horizontal="center" vertical="center"/>
    </xf>
    <xf numFmtId="0" fontId="59" fillId="0" borderId="0" xfId="34" applyFont="1" applyBorder="1" applyAlignment="1">
      <alignment vertical="top"/>
    </xf>
    <xf numFmtId="0" fontId="36" fillId="0" borderId="0" xfId="34" applyBorder="1" applyAlignment="1"/>
    <xf numFmtId="0" fontId="53" fillId="16" borderId="0" xfId="34" applyFont="1" applyFill="1" applyBorder="1" applyAlignment="1">
      <alignment horizontal="left" vertical="center"/>
    </xf>
    <xf numFmtId="0" fontId="53" fillId="15" borderId="0" xfId="34" applyFont="1" applyFill="1" applyBorder="1" applyAlignment="1">
      <alignment horizontal="left" vertical="center"/>
    </xf>
    <xf numFmtId="0" fontId="60" fillId="0" borderId="0" xfId="34" applyFont="1" applyBorder="1" applyAlignment="1">
      <alignment vertical="center"/>
    </xf>
    <xf numFmtId="0" fontId="61" fillId="14" borderId="0" xfId="34" applyFont="1" applyFill="1" applyBorder="1" applyAlignment="1">
      <alignment vertical="center"/>
    </xf>
    <xf numFmtId="0" fontId="62" fillId="14" borderId="0" xfId="34" applyFont="1" applyFill="1" applyBorder="1" applyAlignment="1">
      <alignment horizontal="left" vertical="center"/>
    </xf>
    <xf numFmtId="18" fontId="60" fillId="16" borderId="0" xfId="34" applyNumberFormat="1" applyFont="1" applyFill="1" applyBorder="1" applyAlignment="1">
      <alignment horizontal="center" vertical="center"/>
    </xf>
    <xf numFmtId="18" fontId="60" fillId="15" borderId="0" xfId="34" applyNumberFormat="1" applyFont="1" applyFill="1" applyBorder="1" applyAlignment="1">
      <alignment horizontal="center" vertical="center"/>
    </xf>
    <xf numFmtId="0" fontId="53" fillId="16" borderId="0" xfId="34" applyFont="1" applyFill="1" applyBorder="1" applyAlignment="1">
      <alignment horizontal="center" vertical="center"/>
    </xf>
    <xf numFmtId="0" fontId="52" fillId="16" borderId="0" xfId="34" applyFont="1" applyFill="1" applyBorder="1" applyAlignment="1">
      <alignment horizontal="center" vertical="center"/>
    </xf>
    <xf numFmtId="0" fontId="60" fillId="16" borderId="0" xfId="34" applyFont="1" applyFill="1" applyBorder="1" applyAlignment="1">
      <alignment horizontal="center" vertical="center"/>
    </xf>
    <xf numFmtId="0" fontId="60" fillId="15" borderId="0" xfId="34" applyFont="1" applyFill="1" applyBorder="1" applyAlignment="1">
      <alignment horizontal="center" vertical="center"/>
    </xf>
    <xf numFmtId="0" fontId="60" fillId="0" borderId="0" xfId="34" applyFont="1" applyBorder="1" applyAlignment="1"/>
    <xf numFmtId="0" fontId="63" fillId="0" borderId="0" xfId="34" applyFont="1" applyBorder="1" applyAlignment="1">
      <alignment vertical="top"/>
    </xf>
    <xf numFmtId="0" fontId="64" fillId="0" borderId="0" xfId="34" applyFont="1" applyBorder="1" applyAlignment="1"/>
    <xf numFmtId="18" fontId="52" fillId="15" borderId="0" xfId="34" applyNumberFormat="1" applyFont="1" applyFill="1" applyBorder="1" applyAlignment="1">
      <alignment horizontal="center" vertical="center"/>
    </xf>
    <xf numFmtId="0" fontId="65" fillId="14" borderId="0" xfId="34" applyFont="1" applyFill="1" applyBorder="1" applyAlignment="1">
      <alignment vertical="center"/>
    </xf>
    <xf numFmtId="0" fontId="60" fillId="16" borderId="0" xfId="34" applyFont="1" applyFill="1" applyBorder="1" applyAlignment="1">
      <alignment horizontal="left" vertical="center"/>
    </xf>
    <xf numFmtId="0" fontId="60" fillId="15" borderId="0" xfId="34" applyFont="1" applyFill="1" applyBorder="1" applyAlignment="1">
      <alignment horizontal="left" vertical="center"/>
    </xf>
    <xf numFmtId="0" fontId="35" fillId="15" borderId="0" xfId="34" applyFont="1" applyFill="1" applyBorder="1" applyAlignment="1">
      <alignment horizontal="center" vertical="center"/>
    </xf>
    <xf numFmtId="0" fontId="35" fillId="16" borderId="0" xfId="34" applyFont="1" applyFill="1" applyBorder="1" applyAlignment="1">
      <alignment horizontal="center" vertical="center"/>
    </xf>
    <xf numFmtId="18" fontId="35" fillId="15" borderId="0" xfId="34" applyNumberFormat="1" applyFont="1" applyFill="1" applyBorder="1" applyAlignment="1">
      <alignment horizontal="center" vertical="center"/>
    </xf>
    <xf numFmtId="18" fontId="35" fillId="16" borderId="0" xfId="34" applyNumberFormat="1" applyFont="1" applyFill="1" applyBorder="1" applyAlignment="1">
      <alignment horizontal="center" vertical="center"/>
    </xf>
    <xf numFmtId="171" fontId="57" fillId="6" borderId="85" xfId="2" applyNumberFormat="1" applyFont="1" applyFill="1" applyBorder="1" applyAlignment="1">
      <alignment horizontal="center" vertical="center" wrapText="1"/>
    </xf>
    <xf numFmtId="0" fontId="66" fillId="14" borderId="0" xfId="34" applyFont="1" applyFill="1" applyBorder="1" applyAlignment="1">
      <alignment vertical="center"/>
    </xf>
    <xf numFmtId="0" fontId="67" fillId="14" borderId="0" xfId="34" applyFont="1" applyFill="1" applyBorder="1" applyAlignment="1">
      <alignment vertical="center"/>
    </xf>
    <xf numFmtId="2" fontId="66" fillId="16" borderId="0" xfId="34" applyNumberFormat="1" applyFont="1" applyFill="1" applyBorder="1" applyAlignment="1">
      <alignment horizontal="center" vertical="center"/>
    </xf>
    <xf numFmtId="0" fontId="66" fillId="16" borderId="0" xfId="34" applyFont="1" applyFill="1" applyBorder="1" applyAlignment="1">
      <alignment horizontal="center" vertical="center"/>
    </xf>
    <xf numFmtId="2" fontId="68" fillId="16" borderId="0" xfId="34" applyNumberFormat="1" applyFont="1" applyFill="1" applyBorder="1" applyAlignment="1">
      <alignment horizontal="center" vertical="center"/>
    </xf>
    <xf numFmtId="4" fontId="68" fillId="16" borderId="0" xfId="34" applyNumberFormat="1" applyFont="1" applyFill="1" applyBorder="1" applyAlignment="1">
      <alignment horizontal="center" vertical="center"/>
    </xf>
    <xf numFmtId="2" fontId="66" fillId="15" borderId="0" xfId="34" applyNumberFormat="1" applyFont="1" applyFill="1" applyBorder="1" applyAlignment="1">
      <alignment horizontal="center" vertical="center"/>
    </xf>
    <xf numFmtId="0" fontId="66" fillId="15" borderId="0" xfId="34" applyFont="1" applyFill="1" applyBorder="1" applyAlignment="1">
      <alignment horizontal="center" vertical="center"/>
    </xf>
    <xf numFmtId="2" fontId="68" fillId="15" borderId="0" xfId="34" applyNumberFormat="1" applyFont="1" applyFill="1" applyBorder="1" applyAlignment="1">
      <alignment horizontal="center" vertical="center"/>
    </xf>
    <xf numFmtId="4" fontId="68" fillId="15" borderId="0" xfId="34" applyNumberFormat="1" applyFont="1" applyFill="1" applyBorder="1" applyAlignment="1">
      <alignment horizontal="center" vertical="center"/>
    </xf>
    <xf numFmtId="2" fontId="69" fillId="17" borderId="0" xfId="34" applyNumberFormat="1" applyFont="1" applyFill="1" applyBorder="1" applyAlignment="1">
      <alignment horizontal="center" vertical="center"/>
    </xf>
    <xf numFmtId="0" fontId="66" fillId="0" borderId="0" xfId="34" applyFont="1" applyBorder="1" applyAlignment="1"/>
    <xf numFmtId="0" fontId="68" fillId="0" borderId="0" xfId="34" applyFont="1" applyBorder="1" applyAlignment="1"/>
    <xf numFmtId="2" fontId="66" fillId="13" borderId="0" xfId="34" applyNumberFormat="1" applyFont="1" applyFill="1" applyBorder="1" applyAlignment="1">
      <alignment horizontal="center" vertical="center"/>
    </xf>
    <xf numFmtId="2" fontId="68" fillId="13" borderId="0" xfId="34" applyNumberFormat="1" applyFont="1" applyFill="1" applyBorder="1" applyAlignment="1">
      <alignment horizontal="center" vertical="center"/>
    </xf>
    <xf numFmtId="0" fontId="70" fillId="0" borderId="0" xfId="34" applyFont="1" applyBorder="1" applyAlignment="1"/>
    <xf numFmtId="0" fontId="71" fillId="0" borderId="0" xfId="34" applyFont="1" applyBorder="1" applyAlignment="1"/>
    <xf numFmtId="0" fontId="1" fillId="8" borderId="0" xfId="59" applyFont="1" applyFill="1" applyProtection="1">
      <protection locked="0"/>
    </xf>
    <xf numFmtId="0" fontId="26" fillId="0" borderId="0" xfId="0" applyFont="1"/>
    <xf numFmtId="0" fontId="1" fillId="0" borderId="0" xfId="0" applyFont="1"/>
    <xf numFmtId="0" fontId="45" fillId="0" borderId="0" xfId="0" applyFont="1"/>
    <xf numFmtId="0" fontId="26" fillId="0" borderId="94" xfId="0" applyFont="1" applyBorder="1"/>
    <xf numFmtId="0" fontId="0" fillId="0" borderId="37" xfId="0" applyBorder="1"/>
    <xf numFmtId="0" fontId="0" fillId="0" borderId="95" xfId="0" applyBorder="1"/>
    <xf numFmtId="0" fontId="0" fillId="0" borderId="96" xfId="0" applyBorder="1"/>
    <xf numFmtId="0" fontId="0" fillId="0" borderId="0" xfId="0" applyBorder="1"/>
    <xf numFmtId="0" fontId="0" fillId="0" borderId="97" xfId="0" applyBorder="1"/>
    <xf numFmtId="0" fontId="1" fillId="0" borderId="96" xfId="0" applyFont="1" applyBorder="1"/>
    <xf numFmtId="0" fontId="1" fillId="0" borderId="98" xfId="0" applyFont="1" applyBorder="1"/>
    <xf numFmtId="43" fontId="0" fillId="0" borderId="6" xfId="1" applyFont="1" applyBorder="1"/>
    <xf numFmtId="0" fontId="0" fillId="0" borderId="6" xfId="0" applyBorder="1"/>
    <xf numFmtId="0" fontId="0" fillId="0" borderId="99" xfId="0" applyBorder="1"/>
    <xf numFmtId="0" fontId="0" fillId="0" borderId="94" xfId="0" applyBorder="1"/>
    <xf numFmtId="0" fontId="0" fillId="0" borderId="98" xfId="0" applyBorder="1"/>
    <xf numFmtId="43" fontId="0" fillId="0" borderId="0" xfId="1" applyFont="1" applyBorder="1"/>
    <xf numFmtId="43" fontId="2" fillId="8" borderId="23" xfId="1" applyFont="1" applyFill="1" applyBorder="1" applyAlignment="1" applyProtection="1">
      <alignment horizontal="center"/>
      <protection locked="0"/>
    </xf>
    <xf numFmtId="43" fontId="2" fillId="8" borderId="2" xfId="1" applyFont="1" applyFill="1" applyBorder="1" applyAlignment="1" applyProtection="1">
      <alignment horizontal="center"/>
      <protection locked="0"/>
    </xf>
    <xf numFmtId="43" fontId="2" fillId="8" borderId="8" xfId="1" applyFont="1" applyFill="1" applyBorder="1" applyAlignment="1" applyProtection="1">
      <alignment horizontal="center"/>
      <protection locked="0"/>
    </xf>
    <xf numFmtId="43" fontId="2" fillId="8" borderId="8" xfId="1" applyFont="1" applyFill="1" applyBorder="1" applyAlignment="1" applyProtection="1"/>
    <xf numFmtId="43" fontId="2" fillId="8" borderId="2" xfId="1" applyFont="1" applyFill="1" applyBorder="1" applyAlignment="1" applyProtection="1"/>
    <xf numFmtId="0" fontId="10" fillId="8" borderId="5" xfId="59" applyFont="1" applyFill="1" applyBorder="1" applyAlignment="1">
      <alignment horizontal="center"/>
    </xf>
    <xf numFmtId="43" fontId="2" fillId="8" borderId="8" xfId="1" applyFont="1" applyFill="1" applyBorder="1" applyAlignment="1" applyProtection="1">
      <protection locked="0"/>
    </xf>
    <xf numFmtId="43" fontId="14" fillId="0" borderId="0" xfId="59" applyNumberFormat="1" applyFont="1" applyBorder="1"/>
    <xf numFmtId="43" fontId="2" fillId="8" borderId="2" xfId="1" applyFont="1" applyFill="1" applyBorder="1" applyAlignment="1" applyProtection="1">
      <protection locked="0"/>
    </xf>
    <xf numFmtId="164" fontId="1" fillId="8" borderId="0" xfId="59" applyNumberFormat="1" applyFont="1" applyFill="1" applyProtection="1">
      <protection locked="0"/>
    </xf>
    <xf numFmtId="43" fontId="17" fillId="0" borderId="0" xfId="59" applyNumberFormat="1" applyFont="1" applyFill="1" applyProtection="1">
      <protection locked="0"/>
    </xf>
    <xf numFmtId="43" fontId="1" fillId="0" borderId="0" xfId="1" applyFont="1" applyFill="1" applyProtection="1">
      <protection locked="0"/>
    </xf>
    <xf numFmtId="171" fontId="72" fillId="6" borderId="88" xfId="2" applyNumberFormat="1" applyFont="1" applyFill="1" applyBorder="1" applyAlignment="1">
      <alignment horizontal="center" vertical="center" wrapText="1"/>
    </xf>
    <xf numFmtId="171" fontId="72" fillId="6" borderId="89" xfId="2" applyNumberFormat="1" applyFont="1" applyFill="1" applyBorder="1" applyAlignment="1">
      <alignment horizontal="center" vertical="center" wrapText="1"/>
    </xf>
    <xf numFmtId="18" fontId="17" fillId="16" borderId="0" xfId="34" applyNumberFormat="1" applyFont="1" applyFill="1" applyBorder="1" applyAlignment="1">
      <alignment horizontal="center" vertical="center"/>
    </xf>
    <xf numFmtId="18" fontId="17" fillId="15" borderId="0" xfId="34" applyNumberFormat="1" applyFont="1" applyFill="1" applyBorder="1" applyAlignment="1">
      <alignment horizontal="center" vertical="center"/>
    </xf>
    <xf numFmtId="0" fontId="74" fillId="0" borderId="0" xfId="34" applyFont="1" applyBorder="1" applyAlignment="1">
      <alignment horizontal="center" vertical="center"/>
    </xf>
    <xf numFmtId="171" fontId="34" fillId="6" borderId="87" xfId="2" applyNumberFormat="1" applyFont="1" applyFill="1" applyBorder="1" applyAlignment="1">
      <alignment horizontal="center" vertical="center"/>
    </xf>
    <xf numFmtId="171" fontId="73" fillId="6" borderId="92" xfId="2" applyNumberFormat="1" applyFont="1" applyFill="1" applyBorder="1" applyAlignment="1">
      <alignment horizontal="center" vertical="center" wrapText="1"/>
    </xf>
    <xf numFmtId="171" fontId="73" fillId="6" borderId="93" xfId="2" applyNumberFormat="1" applyFont="1" applyFill="1" applyBorder="1" applyAlignment="1">
      <alignment horizontal="center" vertical="center" wrapText="1"/>
    </xf>
    <xf numFmtId="171" fontId="73" fillId="6" borderId="85" xfId="2" applyNumberFormat="1" applyFont="1" applyFill="1" applyBorder="1" applyAlignment="1">
      <alignment horizontal="center" vertical="center" wrapText="1"/>
    </xf>
    <xf numFmtId="171" fontId="57" fillId="6" borderId="90" xfId="2" applyNumberFormat="1" applyFont="1" applyFill="1" applyBorder="1" applyAlignment="1">
      <alignment horizontal="center" vertical="center" wrapText="1"/>
    </xf>
    <xf numFmtId="171" fontId="57" fillId="6" borderId="91" xfId="2" applyNumberFormat="1" applyFont="1" applyFill="1" applyBorder="1" applyAlignment="1">
      <alignment horizontal="center" vertical="center" wrapText="1"/>
    </xf>
    <xf numFmtId="171" fontId="57" fillId="6" borderId="86" xfId="2" applyNumberFormat="1" applyFont="1" applyFill="1" applyBorder="1" applyAlignment="1">
      <alignment horizontal="center" vertical="center" wrapText="1"/>
    </xf>
    <xf numFmtId="171" fontId="57" fillId="6" borderId="87" xfId="2" applyNumberFormat="1" applyFont="1" applyFill="1" applyBorder="1" applyAlignment="1">
      <alignment horizontal="center" vertical="center" wrapText="1"/>
    </xf>
    <xf numFmtId="171" fontId="57" fillId="6" borderId="92" xfId="2" applyNumberFormat="1" applyFont="1" applyFill="1" applyBorder="1" applyAlignment="1">
      <alignment horizontal="center" vertical="center" wrapText="1"/>
    </xf>
    <xf numFmtId="171" fontId="57" fillId="6" borderId="93" xfId="2" applyNumberFormat="1" applyFont="1" applyFill="1" applyBorder="1" applyAlignment="1">
      <alignment horizontal="center" vertical="center" wrapText="1"/>
    </xf>
    <xf numFmtId="171" fontId="57" fillId="6" borderId="85" xfId="2" applyNumberFormat="1" applyFont="1" applyFill="1" applyBorder="1" applyAlignment="1">
      <alignment horizontal="center" vertical="center" wrapText="1"/>
    </xf>
    <xf numFmtId="18" fontId="35" fillId="16" borderId="0" xfId="34" applyNumberFormat="1" applyFont="1" applyFill="1" applyBorder="1" applyAlignment="1">
      <alignment horizontal="center" vertical="center"/>
    </xf>
    <xf numFmtId="18" fontId="17" fillId="15" borderId="0" xfId="34" quotePrefix="1" applyNumberFormat="1" applyFont="1" applyFill="1" applyBorder="1" applyAlignment="1">
      <alignment horizontal="center" vertical="center"/>
    </xf>
    <xf numFmtId="18" fontId="35" fillId="15" borderId="0" xfId="34" applyNumberFormat="1" applyFont="1" applyFill="1" applyBorder="1" applyAlignment="1">
      <alignment horizontal="center" vertical="center"/>
    </xf>
    <xf numFmtId="18" fontId="35" fillId="15" borderId="0" xfId="34" quotePrefix="1" applyNumberFormat="1" applyFont="1" applyFill="1" applyBorder="1" applyAlignment="1">
      <alignment horizontal="center" vertical="center"/>
    </xf>
    <xf numFmtId="18" fontId="17" fillId="16" borderId="0" xfId="34" quotePrefix="1" applyNumberFormat="1" applyFont="1" applyFill="1" applyBorder="1" applyAlignment="1">
      <alignment horizontal="center" vertical="center"/>
    </xf>
    <xf numFmtId="18" fontId="35" fillId="16" borderId="0" xfId="34" quotePrefix="1" applyNumberFormat="1" applyFont="1" applyFill="1" applyBorder="1" applyAlignment="1">
      <alignment horizontal="center" vertical="center"/>
    </xf>
    <xf numFmtId="43" fontId="6" fillId="5" borderId="8" xfId="1" applyFont="1" applyFill="1" applyBorder="1" applyAlignment="1" applyProtection="1">
      <alignment horizontal="center" vertical="center" wrapText="1"/>
      <protection locked="0"/>
    </xf>
    <xf numFmtId="0" fontId="2" fillId="5" borderId="3" xfId="59" applyFont="1" applyFill="1" applyBorder="1" applyAlignment="1" applyProtection="1">
      <alignment horizontal="center" vertical="center" wrapText="1"/>
      <protection locked="0"/>
    </xf>
    <xf numFmtId="43" fontId="6" fillId="0" borderId="70" xfId="1" applyFont="1" applyFill="1" applyBorder="1" applyAlignment="1" applyProtection="1">
      <alignment horizontal="center" vertical="center" wrapText="1"/>
      <protection locked="0"/>
    </xf>
    <xf numFmtId="0" fontId="2" fillId="0" borderId="4" xfId="59" applyFont="1" applyFill="1" applyBorder="1" applyAlignment="1" applyProtection="1">
      <alignment horizontal="center" vertical="center" wrapText="1"/>
      <protection locked="0"/>
    </xf>
    <xf numFmtId="0" fontId="6" fillId="0" borderId="51" xfId="59" applyFont="1" applyFill="1" applyBorder="1" applyAlignment="1" applyProtection="1">
      <alignment horizontal="center" vertical="center" wrapText="1"/>
      <protection locked="0"/>
    </xf>
    <xf numFmtId="0" fontId="1" fillId="0" borderId="52" xfId="59" applyBorder="1" applyAlignment="1" applyProtection="1">
      <alignment horizontal="center" vertical="center" wrapText="1"/>
      <protection locked="0"/>
    </xf>
    <xf numFmtId="0" fontId="6" fillId="0" borderId="53" xfId="59" applyFont="1" applyFill="1" applyBorder="1" applyAlignment="1" applyProtection="1">
      <alignment horizontal="center" vertical="center" wrapText="1"/>
      <protection locked="0"/>
    </xf>
    <xf numFmtId="0" fontId="2" fillId="0" borderId="54" xfId="59" applyFont="1" applyFill="1" applyBorder="1" applyAlignment="1" applyProtection="1">
      <alignment horizontal="center" vertical="center" wrapText="1"/>
      <protection locked="0"/>
    </xf>
    <xf numFmtId="43" fontId="6" fillId="0" borderId="55" xfId="1" applyFont="1" applyFill="1" applyBorder="1" applyAlignment="1" applyProtection="1">
      <alignment horizontal="center" vertical="center" wrapText="1"/>
      <protection locked="0"/>
    </xf>
    <xf numFmtId="0" fontId="2" fillId="0" borderId="56" xfId="59" applyFont="1" applyFill="1" applyBorder="1" applyAlignment="1" applyProtection="1">
      <alignment horizontal="center" vertical="center" wrapText="1"/>
      <protection locked="0"/>
    </xf>
    <xf numFmtId="43" fontId="6" fillId="5" borderId="55" xfId="1" applyFont="1" applyFill="1" applyBorder="1" applyAlignment="1" applyProtection="1">
      <alignment horizontal="center" vertical="center" wrapText="1"/>
      <protection locked="0"/>
    </xf>
    <xf numFmtId="0" fontId="1" fillId="5" borderId="56" xfId="59" applyFill="1" applyBorder="1" applyAlignment="1" applyProtection="1">
      <alignment horizontal="center" vertical="center" wrapText="1"/>
      <protection locked="0"/>
    </xf>
    <xf numFmtId="43" fontId="6" fillId="0" borderId="62" xfId="1" applyFont="1" applyFill="1" applyBorder="1" applyAlignment="1" applyProtection="1">
      <alignment horizontal="center" vertical="center" wrapText="1"/>
      <protection locked="0"/>
    </xf>
    <xf numFmtId="0" fontId="1" fillId="0" borderId="63" xfId="59" applyBorder="1" applyAlignment="1" applyProtection="1">
      <alignment horizontal="center" vertical="center" wrapText="1"/>
      <protection locked="0"/>
    </xf>
    <xf numFmtId="0" fontId="2" fillId="5" borderId="56" xfId="59" applyFont="1" applyFill="1" applyBorder="1" applyAlignment="1" applyProtection="1">
      <alignment horizontal="center" vertical="center" wrapText="1"/>
      <protection locked="0"/>
    </xf>
    <xf numFmtId="43" fontId="6" fillId="5" borderId="71" xfId="1" applyFont="1" applyFill="1" applyBorder="1" applyAlignment="1" applyProtection="1">
      <alignment horizontal="center" vertical="center" wrapText="1"/>
      <protection locked="0"/>
    </xf>
    <xf numFmtId="43" fontId="6" fillId="5" borderId="72" xfId="1" applyFont="1" applyFill="1" applyBorder="1" applyAlignment="1" applyProtection="1">
      <alignment horizontal="center" vertical="center" wrapText="1"/>
      <protection locked="0"/>
    </xf>
    <xf numFmtId="43" fontId="6" fillId="5" borderId="73" xfId="1" applyFont="1" applyFill="1" applyBorder="1" applyAlignment="1" applyProtection="1">
      <alignment horizontal="center" vertical="center" wrapText="1"/>
      <protection locked="0"/>
    </xf>
    <xf numFmtId="43" fontId="6" fillId="5" borderId="74" xfId="1" applyFont="1" applyFill="1" applyBorder="1" applyAlignment="1" applyProtection="1">
      <alignment horizontal="center" vertical="center" wrapText="1"/>
      <protection locked="0"/>
    </xf>
    <xf numFmtId="0" fontId="6" fillId="5" borderId="75" xfId="59" applyFont="1" applyFill="1" applyBorder="1" applyAlignment="1" applyProtection="1">
      <alignment horizontal="center" vertical="center" wrapText="1"/>
      <protection locked="0"/>
    </xf>
    <xf numFmtId="0" fontId="1" fillId="5" borderId="76" xfId="59" applyFill="1" applyBorder="1" applyAlignment="1" applyProtection="1">
      <alignment horizontal="center" vertical="center" wrapText="1"/>
      <protection locked="0"/>
    </xf>
    <xf numFmtId="43" fontId="6" fillId="0" borderId="8" xfId="1" applyFont="1" applyFill="1" applyBorder="1" applyAlignment="1" applyProtection="1">
      <alignment horizontal="center" vertical="center" wrapText="1"/>
      <protection locked="0"/>
    </xf>
    <xf numFmtId="0" fontId="2" fillId="0" borderId="3" xfId="59" applyFont="1" applyFill="1" applyBorder="1" applyAlignment="1" applyProtection="1">
      <alignment horizontal="center" vertical="center" wrapText="1"/>
      <protection locked="0"/>
    </xf>
    <xf numFmtId="43" fontId="6" fillId="13" borderId="55" xfId="1" applyFont="1" applyFill="1" applyBorder="1" applyAlignment="1" applyProtection="1">
      <alignment horizontal="center" vertical="center" wrapText="1"/>
      <protection locked="0"/>
    </xf>
    <xf numFmtId="0" fontId="1" fillId="13" borderId="56" xfId="59" applyFill="1" applyBorder="1" applyAlignment="1" applyProtection="1">
      <alignment horizontal="center" vertical="center" wrapText="1"/>
      <protection locked="0"/>
    </xf>
    <xf numFmtId="43" fontId="6" fillId="5" borderId="77" xfId="1" applyFont="1" applyFill="1" applyBorder="1" applyAlignment="1" applyProtection="1">
      <alignment horizontal="center" vertical="center" wrapText="1"/>
      <protection locked="0"/>
    </xf>
    <xf numFmtId="43" fontId="6" fillId="5" borderId="78" xfId="1" applyFont="1" applyFill="1" applyBorder="1" applyAlignment="1" applyProtection="1">
      <alignment horizontal="center" vertical="center" wrapText="1"/>
      <protection locked="0"/>
    </xf>
    <xf numFmtId="43" fontId="6" fillId="5" borderId="30" xfId="1" applyFont="1" applyFill="1" applyBorder="1" applyAlignment="1" applyProtection="1">
      <alignment horizontal="center" vertical="center" wrapText="1"/>
      <protection locked="0"/>
    </xf>
    <xf numFmtId="43" fontId="31" fillId="0" borderId="64" xfId="1" applyFont="1" applyFill="1" applyBorder="1" applyAlignment="1" applyProtection="1">
      <alignment horizontal="center" vertical="center" wrapText="1"/>
      <protection locked="0"/>
    </xf>
    <xf numFmtId="43" fontId="31" fillId="0" borderId="65" xfId="1" applyFont="1" applyFill="1" applyBorder="1" applyAlignment="1" applyProtection="1">
      <alignment horizontal="center" vertical="center" wrapText="1"/>
      <protection locked="0"/>
    </xf>
    <xf numFmtId="43" fontId="6" fillId="0" borderId="57" xfId="1" applyFont="1" applyFill="1" applyBorder="1" applyAlignment="1" applyProtection="1">
      <alignment horizontal="center" vertical="center" wrapText="1"/>
      <protection locked="0"/>
    </xf>
    <xf numFmtId="0" fontId="2" fillId="0" borderId="58" xfId="59" applyFont="1" applyFill="1" applyBorder="1" applyAlignment="1" applyProtection="1">
      <alignment horizontal="center" vertical="center" wrapText="1"/>
      <protection locked="0"/>
    </xf>
    <xf numFmtId="43" fontId="6" fillId="5" borderId="66" xfId="1" applyFont="1" applyFill="1" applyBorder="1" applyAlignment="1" applyProtection="1">
      <alignment horizontal="center" vertical="center" wrapText="1"/>
      <protection locked="0"/>
    </xf>
    <xf numFmtId="0" fontId="2" fillId="5" borderId="67" xfId="59" applyFont="1" applyFill="1" applyBorder="1" applyAlignment="1" applyProtection="1">
      <alignment horizontal="center" vertical="center" wrapText="1"/>
      <protection locked="0"/>
    </xf>
    <xf numFmtId="43" fontId="6" fillId="5" borderId="68" xfId="1" applyFont="1" applyFill="1" applyBorder="1" applyAlignment="1" applyProtection="1">
      <alignment horizontal="center" vertical="center" wrapText="1"/>
      <protection locked="0"/>
    </xf>
    <xf numFmtId="0" fontId="1" fillId="5" borderId="69" xfId="59" applyFill="1" applyBorder="1" applyAlignment="1" applyProtection="1">
      <alignment horizontal="center" vertical="center" wrapText="1"/>
      <protection locked="0"/>
    </xf>
    <xf numFmtId="0" fontId="1" fillId="5" borderId="3" xfId="59" applyFill="1" applyBorder="1" applyAlignment="1" applyProtection="1">
      <alignment horizontal="center" vertical="center" wrapText="1"/>
      <protection locked="0"/>
    </xf>
    <xf numFmtId="43" fontId="75" fillId="18" borderId="11" xfId="8" applyFont="1" applyFill="1" applyBorder="1" applyAlignment="1" applyProtection="1">
      <alignment horizontal="center" vertical="center" wrapText="1"/>
      <protection locked="0"/>
    </xf>
    <xf numFmtId="43" fontId="75" fillId="18" borderId="12" xfId="8" applyFont="1" applyFill="1" applyBorder="1" applyAlignment="1" applyProtection="1">
      <alignment horizontal="center" vertical="center" wrapText="1"/>
      <protection locked="0"/>
    </xf>
    <xf numFmtId="0" fontId="6" fillId="7" borderId="0" xfId="59" applyFont="1" applyFill="1" applyAlignment="1" applyProtection="1">
      <alignment horizontal="center" vertical="center" wrapText="1"/>
    </xf>
    <xf numFmtId="0" fontId="2" fillId="0" borderId="0" xfId="0" applyFont="1" applyFill="1" applyAlignment="1" applyProtection="1">
      <alignment horizontal="center" vertical="center"/>
      <protection locked="0"/>
    </xf>
    <xf numFmtId="0" fontId="1" fillId="0" borderId="3" xfId="59" applyBorder="1" applyAlignment="1" applyProtection="1">
      <alignment horizontal="center" vertical="center" wrapText="1"/>
      <protection locked="0"/>
    </xf>
    <xf numFmtId="43" fontId="6" fillId="5" borderId="60" xfId="1" applyFont="1" applyFill="1" applyBorder="1" applyAlignment="1" applyProtection="1">
      <alignment horizontal="center" vertical="center" wrapText="1"/>
      <protection locked="0"/>
    </xf>
    <xf numFmtId="43" fontId="6" fillId="5" borderId="61" xfId="1" applyFont="1" applyFill="1" applyBorder="1" applyAlignment="1" applyProtection="1">
      <alignment horizontal="center" vertical="center" wrapText="1"/>
      <protection locked="0"/>
    </xf>
    <xf numFmtId="0" fontId="2" fillId="0" borderId="59" xfId="0" applyFont="1" applyFill="1" applyBorder="1" applyAlignment="1" applyProtection="1">
      <alignment horizontal="center" vertical="center"/>
      <protection locked="0"/>
    </xf>
    <xf numFmtId="43" fontId="6" fillId="5" borderId="62" xfId="1" applyFont="1" applyFill="1" applyBorder="1" applyAlignment="1" applyProtection="1">
      <alignment horizontal="center" vertical="center" wrapText="1"/>
      <protection locked="0"/>
    </xf>
    <xf numFmtId="0" fontId="1" fillId="5" borderId="63" xfId="59" applyFill="1" applyBorder="1" applyAlignment="1" applyProtection="1">
      <alignment horizontal="center" vertical="center" wrapText="1"/>
      <protection locked="0"/>
    </xf>
    <xf numFmtId="43" fontId="6" fillId="5" borderId="56" xfId="1" applyFont="1" applyFill="1" applyBorder="1" applyAlignment="1" applyProtection="1">
      <alignment horizontal="center" vertical="center" wrapText="1"/>
      <protection locked="0"/>
    </xf>
    <xf numFmtId="0" fontId="6" fillId="0" borderId="28" xfId="59" applyFont="1" applyFill="1" applyBorder="1" applyAlignment="1" applyProtection="1">
      <alignment horizontal="center" vertical="center" wrapText="1"/>
      <protection locked="0"/>
    </xf>
    <xf numFmtId="0" fontId="1" fillId="0" borderId="27" xfId="59" applyBorder="1" applyAlignment="1" applyProtection="1">
      <alignment horizontal="center" vertical="center" wrapText="1"/>
      <protection locked="0"/>
    </xf>
    <xf numFmtId="0" fontId="6" fillId="0" borderId="8" xfId="59" applyFont="1" applyFill="1" applyBorder="1" applyAlignment="1" applyProtection="1">
      <alignment horizontal="center" vertical="center" wrapText="1"/>
      <protection locked="0"/>
    </xf>
    <xf numFmtId="43" fontId="10" fillId="8" borderId="6" xfId="59" applyNumberFormat="1" applyFont="1" applyFill="1" applyBorder="1" applyAlignment="1">
      <alignment horizontal="center"/>
    </xf>
    <xf numFmtId="0" fontId="10" fillId="8" borderId="6" xfId="59" applyFont="1" applyFill="1" applyBorder="1" applyAlignment="1">
      <alignment horizontal="center"/>
    </xf>
    <xf numFmtId="2" fontId="10" fillId="8" borderId="82" xfId="59" applyNumberFormat="1" applyFont="1" applyFill="1" applyBorder="1" applyAlignment="1">
      <alignment horizontal="center"/>
    </xf>
    <xf numFmtId="166" fontId="10" fillId="8" borderId="82" xfId="59" applyNumberFormat="1" applyFont="1" applyFill="1" applyBorder="1" applyAlignment="1">
      <alignment horizontal="center"/>
    </xf>
    <xf numFmtId="0" fontId="10" fillId="8" borderId="79" xfId="59" applyFont="1" applyFill="1" applyBorder="1" applyAlignment="1">
      <alignment horizontal="center"/>
    </xf>
    <xf numFmtId="0" fontId="10" fillId="8" borderId="80" xfId="59" applyFont="1" applyFill="1" applyBorder="1" applyAlignment="1">
      <alignment horizontal="center"/>
    </xf>
    <xf numFmtId="0" fontId="10" fillId="8" borderId="81" xfId="59" applyFont="1" applyFill="1" applyBorder="1" applyAlignment="1">
      <alignment horizontal="center"/>
    </xf>
    <xf numFmtId="0" fontId="10" fillId="8" borderId="32" xfId="59" applyFont="1" applyFill="1" applyBorder="1" applyAlignment="1">
      <alignment horizontal="center"/>
    </xf>
    <xf numFmtId="0" fontId="10" fillId="8" borderId="0" xfId="59" applyFont="1" applyFill="1" applyBorder="1" applyAlignment="1">
      <alignment horizontal="center"/>
    </xf>
    <xf numFmtId="0" fontId="10" fillId="8" borderId="5" xfId="59" applyFont="1" applyFill="1" applyBorder="1" applyAlignment="1">
      <alignment horizontal="center"/>
    </xf>
    <xf numFmtId="0" fontId="13" fillId="8" borderId="32" xfId="59" applyFont="1" applyFill="1" applyBorder="1" applyAlignment="1">
      <alignment horizontal="center"/>
    </xf>
    <xf numFmtId="0" fontId="13" fillId="8" borderId="0" xfId="59" applyFont="1" applyFill="1" applyBorder="1" applyAlignment="1">
      <alignment horizontal="center"/>
    </xf>
    <xf numFmtId="0" fontId="13" fillId="8" borderId="5" xfId="59" applyFont="1" applyFill="1" applyBorder="1" applyAlignment="1">
      <alignment horizontal="center"/>
    </xf>
    <xf numFmtId="0" fontId="1" fillId="0" borderId="56" xfId="59" applyBorder="1" applyAlignment="1" applyProtection="1">
      <alignment horizontal="center" vertical="center" wrapText="1"/>
      <protection locked="0"/>
    </xf>
    <xf numFmtId="0" fontId="50" fillId="18" borderId="0" xfId="105" applyFont="1" applyFill="1" applyAlignment="1" applyProtection="1">
      <alignment horizontal="center" vertical="center"/>
    </xf>
    <xf numFmtId="0" fontId="26" fillId="0" borderId="10" xfId="105" applyFont="1" applyBorder="1" applyAlignment="1">
      <alignment horizontal="center"/>
    </xf>
    <xf numFmtId="0" fontId="26" fillId="0" borderId="12" xfId="105" applyFont="1" applyBorder="1" applyAlignment="1">
      <alignment horizontal="center"/>
    </xf>
    <xf numFmtId="0" fontId="26" fillId="0" borderId="83" xfId="105" applyFont="1" applyBorder="1" applyAlignment="1">
      <alignment horizontal="center"/>
    </xf>
    <xf numFmtId="0" fontId="25" fillId="0" borderId="0" xfId="105" applyFont="1" applyAlignment="1">
      <alignment horizontal="center"/>
    </xf>
    <xf numFmtId="43" fontId="25" fillId="0" borderId="0" xfId="1" applyFont="1" applyAlignment="1">
      <alignment horizontal="center"/>
    </xf>
    <xf numFmtId="43" fontId="26" fillId="0" borderId="12" xfId="1" applyFont="1" applyBorder="1" applyAlignment="1">
      <alignment horizontal="center"/>
    </xf>
    <xf numFmtId="0" fontId="76" fillId="0" borderId="0" xfId="0" applyFont="1" applyBorder="1" applyAlignment="1">
      <alignment horizontal="left" wrapText="1"/>
    </xf>
    <xf numFmtId="0" fontId="76" fillId="0" borderId="97" xfId="0" applyFont="1" applyBorder="1" applyAlignment="1">
      <alignment horizontal="left" wrapText="1"/>
    </xf>
  </cellXfs>
  <cellStyles count="109">
    <cellStyle name="Comma" xfId="1" builtinId="3"/>
    <cellStyle name="Comma 12" xfId="2"/>
    <cellStyle name="Comma 2" xfId="3"/>
    <cellStyle name="Comma 2 2" xfId="4"/>
    <cellStyle name="Comma 2 2 2" xfId="5"/>
    <cellStyle name="Comma 2 3" xfId="6"/>
    <cellStyle name="Comma 2 4" xfId="7"/>
    <cellStyle name="Comma 2 5" xfId="8"/>
    <cellStyle name="Comma 2_Antipolo Payroll November '12" xfId="9"/>
    <cellStyle name="Comma 3" xfId="10"/>
    <cellStyle name="Comma 4" xfId="11"/>
    <cellStyle name="Comma 4 2" xfId="12"/>
    <cellStyle name="Comma 4 2 2" xfId="13"/>
    <cellStyle name="Comma 5" xfId="14"/>
    <cellStyle name="Comma 5 2" xfId="15"/>
    <cellStyle name="Comma 5 2 2" xfId="16"/>
    <cellStyle name="Comma 5 2 3" xfId="17"/>
    <cellStyle name="Comma 5 2 3 2" xfId="18"/>
    <cellStyle name="Comma 5 2 3 4" xfId="19"/>
    <cellStyle name="Comma 5 2 3 6" xfId="20"/>
    <cellStyle name="Comma 5 2 3 6 2" xfId="21"/>
    <cellStyle name="Comma 5 2 4" xfId="22"/>
    <cellStyle name="Comma 5 3" xfId="23"/>
    <cellStyle name="Comma 7" xfId="24"/>
    <cellStyle name="Currency 2" xfId="25"/>
    <cellStyle name="Excel Built-in Comma" xfId="26"/>
    <cellStyle name="Excel Built-in Comma 2" xfId="27"/>
    <cellStyle name="Excel Built-in Normal" xfId="28"/>
    <cellStyle name="Grey" xfId="29"/>
    <cellStyle name="Input [yellow]" xfId="30"/>
    <cellStyle name="ITEM" xfId="31"/>
    <cellStyle name="ITEM DETAILS" xfId="32"/>
    <cellStyle name="Normal" xfId="0" builtinId="0"/>
    <cellStyle name="Normal - Style1" xfId="33"/>
    <cellStyle name="Normal 10" xfId="34"/>
    <cellStyle name="Normal 11" xfId="35"/>
    <cellStyle name="Normal 12" xfId="36"/>
    <cellStyle name="Normal 12 2" xfId="37"/>
    <cellStyle name="Normal 12 4" xfId="38"/>
    <cellStyle name="Normal 12 4 2" xfId="39"/>
    <cellStyle name="Normal 12 4 3" xfId="40"/>
    <cellStyle name="Normal 13" xfId="41"/>
    <cellStyle name="Normal 14" xfId="42"/>
    <cellStyle name="Normal 15" xfId="43"/>
    <cellStyle name="Normal 16" xfId="44"/>
    <cellStyle name="Normal 16 2" xfId="45"/>
    <cellStyle name="Normal 17" xfId="46"/>
    <cellStyle name="Normal 18" xfId="47"/>
    <cellStyle name="Normal 19" xfId="48"/>
    <cellStyle name="Normal 19 2" xfId="49"/>
    <cellStyle name="Normal 19 3" xfId="50"/>
    <cellStyle name="Normal 19 4" xfId="51"/>
    <cellStyle name="Normal 19 5" xfId="52"/>
    <cellStyle name="Normal 19 6" xfId="53"/>
    <cellStyle name="Normal 2" xfId="54"/>
    <cellStyle name="Normal 2 2" xfId="55"/>
    <cellStyle name="Normal 2 3" xfId="56"/>
    <cellStyle name="Normal 2 4" xfId="57"/>
    <cellStyle name="Normal 2 5" xfId="58"/>
    <cellStyle name="Normal 2 6" xfId="59"/>
    <cellStyle name="Normal 2_Antipolo Payroll November '12" xfId="60"/>
    <cellStyle name="Normal 20" xfId="61"/>
    <cellStyle name="Normal 21" xfId="62"/>
    <cellStyle name="Normal 21 2" xfId="63"/>
    <cellStyle name="Normal 21 3" xfId="64"/>
    <cellStyle name="Normal 21 4" xfId="65"/>
    <cellStyle name="Normal 22" xfId="66"/>
    <cellStyle name="Normal 23" xfId="67"/>
    <cellStyle name="Normal 24" xfId="68"/>
    <cellStyle name="Normal 25" xfId="69"/>
    <cellStyle name="Normal 26" xfId="70"/>
    <cellStyle name="Normal 27" xfId="71"/>
    <cellStyle name="Normal 28" xfId="72"/>
    <cellStyle name="Normal 29" xfId="73"/>
    <cellStyle name="Normal 3" xfId="74"/>
    <cellStyle name="Normal 3 2" xfId="75"/>
    <cellStyle name="Normal 3 2 2" xfId="76"/>
    <cellStyle name="Normal 3 3" xfId="77"/>
    <cellStyle name="Normal 30" xfId="78"/>
    <cellStyle name="Normal 31" xfId="79"/>
    <cellStyle name="Normal 32" xfId="80"/>
    <cellStyle name="Normal 33" xfId="81"/>
    <cellStyle name="Normal 34" xfId="82"/>
    <cellStyle name="Normal 35" xfId="83"/>
    <cellStyle name="Normal 36" xfId="84"/>
    <cellStyle name="Normal 37" xfId="85"/>
    <cellStyle name="Normal 38" xfId="86"/>
    <cellStyle name="Normal 39" xfId="87"/>
    <cellStyle name="Normal 4" xfId="88"/>
    <cellStyle name="Normal 40" xfId="89"/>
    <cellStyle name="Normal 41" xfId="90"/>
    <cellStyle name="Normal 42" xfId="91"/>
    <cellStyle name="Normal 43" xfId="92"/>
    <cellStyle name="Normal 44" xfId="93"/>
    <cellStyle name="Normal 45" xfId="94"/>
    <cellStyle name="Normal 46" xfId="95"/>
    <cellStyle name="Normal 47" xfId="96"/>
    <cellStyle name="Normal 5" xfId="97"/>
    <cellStyle name="Normal 5 2" xfId="98"/>
    <cellStyle name="Normal 52" xfId="99"/>
    <cellStyle name="Normal 6" xfId="100"/>
    <cellStyle name="Normal 7" xfId="101"/>
    <cellStyle name="Normal 8" xfId="102"/>
    <cellStyle name="Normal 8 2" xfId="103"/>
    <cellStyle name="Normal 9" xfId="104"/>
    <cellStyle name="Normal_Antipolo Payroll November '12" xfId="105"/>
    <cellStyle name="Percent [2]" xfId="106"/>
    <cellStyle name="Percent 2" xfId="107"/>
    <cellStyle name="SUB ITEM" xfId="10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0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1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3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4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5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7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8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9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0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1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2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3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4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5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6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7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8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9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0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1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2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3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4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5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6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7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8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9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40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41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42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5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6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7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8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9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1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2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3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4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5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6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7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8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9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0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1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2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3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4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5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6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7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8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9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0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1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2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3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4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5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6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7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7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79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0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1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2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3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5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6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7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8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9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0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1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2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3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4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5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6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7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8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9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0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1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2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3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4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5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6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7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8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9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10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3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4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5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6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7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9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0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1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2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3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4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5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6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7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8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9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0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1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2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3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4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5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6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7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8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9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40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41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42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43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44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4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4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4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4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49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0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1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3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4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5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6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7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8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9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0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1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2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3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4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5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6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7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8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9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0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1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2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3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4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5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6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7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8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8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1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3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4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5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7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8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9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0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1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2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3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4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5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6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7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8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9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0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1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2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3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4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5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6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7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8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9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20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21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22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5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6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7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8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9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1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2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3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4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5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6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7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8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9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0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1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2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3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4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5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6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7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8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9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0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1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2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3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4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5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6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5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5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59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0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1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2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3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5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6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7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8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9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0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1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2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3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4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5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6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7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8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9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0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1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2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3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4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5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6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7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8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9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90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3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4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5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6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7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9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0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1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2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3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4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5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6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7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8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9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0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1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2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3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4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5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6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7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8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9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20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21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22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23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24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2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2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29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0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1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3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4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5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6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7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8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9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0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1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2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3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4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5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6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7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8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9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0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1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2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3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4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5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6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7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8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107157</xdr:colOff>
      <xdr:row>45</xdr:row>
      <xdr:rowOff>59531</xdr:rowOff>
    </xdr:from>
    <xdr:to>
      <xdr:col>17</xdr:col>
      <xdr:colOff>44825</xdr:colOff>
      <xdr:row>51</xdr:row>
      <xdr:rowOff>160384</xdr:rowOff>
    </xdr:to>
    <xdr:sp macro="" textlink="">
      <xdr:nvSpPr>
        <xdr:cNvPr id="2" name="Rectangular Callout 1"/>
        <xdr:cNvSpPr/>
      </xdr:nvSpPr>
      <xdr:spPr>
        <a:xfrm>
          <a:off x="9489282" y="6298406"/>
          <a:ext cx="1585493" cy="1072403"/>
        </a:xfrm>
        <a:prstGeom prst="wedgeRectCallout">
          <a:avLst>
            <a:gd name="adj1" fmla="val -119196"/>
            <a:gd name="adj2" fmla="val 11336"/>
          </a:avLst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>
            <a:lnSpc>
              <a:spcPts val="1100"/>
            </a:lnSpc>
          </a:pPr>
          <a:r>
            <a:rPr lang="en-US" sz="1100" b="1">
              <a:solidFill>
                <a:srgbClr val="FF0000"/>
              </a:solidFill>
            </a:rPr>
            <a:t>Please paki-countercheck</a:t>
          </a:r>
          <a:r>
            <a:rPr lang="en-US" sz="1100" b="1" baseline="0">
              <a:solidFill>
                <a:srgbClr val="FF0000"/>
              </a:solidFill>
            </a:rPr>
            <a:t> din po. Baka may error. Do not rely 100%</a:t>
          </a:r>
          <a:endParaRPr lang="en-US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15</xdr:col>
      <xdr:colOff>107157</xdr:colOff>
      <xdr:row>45</xdr:row>
      <xdr:rowOff>59531</xdr:rowOff>
    </xdr:from>
    <xdr:to>
      <xdr:col>17</xdr:col>
      <xdr:colOff>44825</xdr:colOff>
      <xdr:row>51</xdr:row>
      <xdr:rowOff>160384</xdr:rowOff>
    </xdr:to>
    <xdr:sp macro="" textlink="">
      <xdr:nvSpPr>
        <xdr:cNvPr id="3" name="Rectangular Callout 2"/>
        <xdr:cNvSpPr/>
      </xdr:nvSpPr>
      <xdr:spPr>
        <a:xfrm>
          <a:off x="9489282" y="6298406"/>
          <a:ext cx="1585493" cy="1072403"/>
        </a:xfrm>
        <a:prstGeom prst="wedgeRectCallout">
          <a:avLst>
            <a:gd name="adj1" fmla="val -119196"/>
            <a:gd name="adj2" fmla="val 11336"/>
          </a:avLst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>
            <a:lnSpc>
              <a:spcPts val="1100"/>
            </a:lnSpc>
          </a:pPr>
          <a:r>
            <a:rPr lang="en-US" sz="1100" b="1">
              <a:solidFill>
                <a:srgbClr val="FF0000"/>
              </a:solidFill>
            </a:rPr>
            <a:t>Please paki-countercheck</a:t>
          </a:r>
          <a:r>
            <a:rPr lang="en-US" sz="1100" b="1" baseline="0">
              <a:solidFill>
                <a:srgbClr val="FF0000"/>
              </a:solidFill>
            </a:rPr>
            <a:t> din po. Baka may error. Do not rely 100%</a:t>
          </a:r>
          <a:endParaRPr lang="en-US" sz="1100" b="1">
            <a:solidFill>
              <a:srgbClr val="FF0000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7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8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0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1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2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3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4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5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6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7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8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9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0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1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2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3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4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7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8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9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0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1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2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3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4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5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36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3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38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39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0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1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2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4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5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6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7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8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9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0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1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2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3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4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5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6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7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8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9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0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1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2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3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4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5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6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7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8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9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0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2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3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4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5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6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8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9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0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1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2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3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4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5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6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7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8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9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0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1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2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3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4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5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6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7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8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9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100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101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102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103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04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0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06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07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08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09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0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2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3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4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5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6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7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8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9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0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1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2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3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4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5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6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7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8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9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0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1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2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3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4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5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6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7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38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3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0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1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2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3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4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6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7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8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9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0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1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2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3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4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5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6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7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8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9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0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1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2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3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4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5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6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7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8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9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70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71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ownloads\VALERO%20CONTRI%20NOV%202017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2018/Finance%20Files/2018/Payroll%202018/July%2011-25/Toshco%20Payroll-July%20%2011-25,20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 of contribution"/>
      <sheetName val="Sheet2"/>
      <sheetName val="Sheet3"/>
    </sheetNames>
    <sheetDataSet>
      <sheetData sheetId="0" refreshError="1">
        <row r="18">
          <cell r="J18">
            <v>472.3</v>
          </cell>
          <cell r="K18">
            <v>957.7</v>
          </cell>
          <cell r="L18">
            <v>10</v>
          </cell>
          <cell r="Q18">
            <v>0</v>
          </cell>
        </row>
        <row r="19">
          <cell r="J19">
            <v>472.3</v>
          </cell>
          <cell r="K19">
            <v>957.7</v>
          </cell>
          <cell r="L19">
            <v>10</v>
          </cell>
        </row>
        <row r="20">
          <cell r="J20">
            <v>581.29999999999995</v>
          </cell>
          <cell r="K20">
            <v>1178.7</v>
          </cell>
          <cell r="L20">
            <v>30</v>
          </cell>
        </row>
        <row r="21">
          <cell r="J21">
            <v>490.5</v>
          </cell>
          <cell r="K21">
            <v>994.5</v>
          </cell>
          <cell r="L21">
            <v>10</v>
          </cell>
          <cell r="Q21">
            <v>0</v>
          </cell>
        </row>
        <row r="22">
          <cell r="J22">
            <v>472.3</v>
          </cell>
          <cell r="K22">
            <v>957.7</v>
          </cell>
          <cell r="L22">
            <v>10</v>
          </cell>
          <cell r="Q22">
            <v>0</v>
          </cell>
        </row>
        <row r="23">
          <cell r="J23">
            <v>0</v>
          </cell>
          <cell r="K23">
            <v>0</v>
          </cell>
          <cell r="L23">
            <v>0</v>
          </cell>
          <cell r="M23">
            <v>0</v>
          </cell>
          <cell r="Q23">
            <v>0</v>
          </cell>
        </row>
        <row r="24">
          <cell r="J24">
            <v>0</v>
          </cell>
          <cell r="K24">
            <v>0</v>
          </cell>
          <cell r="L24">
            <v>0</v>
          </cell>
          <cell r="M24">
            <v>0</v>
          </cell>
          <cell r="Q24">
            <v>0</v>
          </cell>
        </row>
        <row r="25">
          <cell r="J25">
            <v>0</v>
          </cell>
          <cell r="K25">
            <v>0</v>
          </cell>
          <cell r="L25">
            <v>0</v>
          </cell>
          <cell r="M25">
            <v>0</v>
          </cell>
          <cell r="Q25">
            <v>0</v>
          </cell>
        </row>
        <row r="26">
          <cell r="J26">
            <v>0</v>
          </cell>
          <cell r="K26">
            <v>0</v>
          </cell>
          <cell r="L26">
            <v>0</v>
          </cell>
          <cell r="M26">
            <v>0</v>
          </cell>
          <cell r="Q26">
            <v>0</v>
          </cell>
        </row>
        <row r="27">
          <cell r="J27">
            <v>0</v>
          </cell>
          <cell r="K27">
            <v>0</v>
          </cell>
          <cell r="L27">
            <v>0</v>
          </cell>
          <cell r="M27">
            <v>0</v>
          </cell>
          <cell r="Q27">
            <v>0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.26-3.10"/>
      <sheetName val="26-10 payroll"/>
      <sheetName val="26-10 payslip"/>
      <sheetName val="3.11-25"/>
      <sheetName val="11-25 payroll"/>
      <sheetName val="11-25 payslip"/>
      <sheetName val="Contribution"/>
    </sheetNames>
    <sheetDataSet>
      <sheetData sheetId="0"/>
      <sheetData sheetId="1"/>
      <sheetData sheetId="2"/>
      <sheetData sheetId="3"/>
      <sheetData sheetId="4">
        <row r="1">
          <cell r="A1" t="str">
            <v>THE OLD SPAGHETTI HOUSE</v>
          </cell>
        </row>
        <row r="2">
          <cell r="D2" t="str">
            <v>VALERO</v>
          </cell>
        </row>
        <row r="7">
          <cell r="B7" t="str">
            <v>Biarcal, Ronald Glenn</v>
          </cell>
          <cell r="P7">
            <v>0</v>
          </cell>
          <cell r="R7">
            <v>0</v>
          </cell>
        </row>
        <row r="8">
          <cell r="B8" t="str">
            <v>Sanchez, Angelo</v>
          </cell>
          <cell r="R8">
            <v>0</v>
          </cell>
        </row>
        <row r="9">
          <cell r="E9">
            <v>790.23076923076928</v>
          </cell>
          <cell r="R9">
            <v>0</v>
          </cell>
        </row>
        <row r="10">
          <cell r="B10" t="str">
            <v xml:space="preserve">Sosa, Anna Marie </v>
          </cell>
          <cell r="R10">
            <v>0</v>
          </cell>
        </row>
        <row r="11">
          <cell r="B11" t="str">
            <v>Briones, Christain Joy</v>
          </cell>
        </row>
        <row r="12">
          <cell r="B12" t="str">
            <v>Cahilig,Benzen</v>
          </cell>
        </row>
        <row r="13">
          <cell r="B13" t="str">
            <v>Pantoja,Nancy</v>
          </cell>
        </row>
        <row r="14">
          <cell r="P14">
            <v>0</v>
          </cell>
          <cell r="R14">
            <v>0</v>
          </cell>
          <cell r="T14">
            <v>0</v>
          </cell>
          <cell r="V14">
            <v>0</v>
          </cell>
          <cell r="W14"/>
        </row>
        <row r="15">
          <cell r="P15">
            <v>0</v>
          </cell>
          <cell r="R15">
            <v>0</v>
          </cell>
          <cell r="T15">
            <v>0</v>
          </cell>
          <cell r="V15">
            <v>0</v>
          </cell>
          <cell r="W15"/>
        </row>
        <row r="24">
          <cell r="B24" t="str">
            <v>Dino, Joyce</v>
          </cell>
        </row>
        <row r="29">
          <cell r="F29">
            <v>0</v>
          </cell>
          <cell r="H29">
            <v>0</v>
          </cell>
          <cell r="J29">
            <v>0</v>
          </cell>
          <cell r="K29"/>
          <cell r="L29">
            <v>0</v>
          </cell>
          <cell r="M29"/>
          <cell r="N29"/>
          <cell r="O29"/>
        </row>
        <row r="30">
          <cell r="F30">
            <v>0</v>
          </cell>
          <cell r="H30">
            <v>0</v>
          </cell>
          <cell r="J30">
            <v>0</v>
          </cell>
          <cell r="L30">
            <v>0</v>
          </cell>
          <cell r="O30"/>
        </row>
        <row r="35">
          <cell r="S35">
            <v>5767.605140624999</v>
          </cell>
        </row>
        <row r="36">
          <cell r="S36">
            <v>6513.4979531250001</v>
          </cell>
        </row>
        <row r="37">
          <cell r="S37">
            <v>8807.3906937499996</v>
          </cell>
        </row>
        <row r="38">
          <cell r="S38">
            <v>5852.5835010416668</v>
          </cell>
        </row>
        <row r="39">
          <cell r="S39">
            <v>4509.8982442708329</v>
          </cell>
        </row>
        <row r="40">
          <cell r="S40">
            <v>4826.2099999999991</v>
          </cell>
        </row>
        <row r="41">
          <cell r="S41">
            <v>5072.4799999999996</v>
          </cell>
        </row>
        <row r="42">
          <cell r="O42">
            <v>0</v>
          </cell>
          <cell r="P42">
            <v>0</v>
          </cell>
          <cell r="Q42">
            <v>0</v>
          </cell>
          <cell r="S42">
            <v>0</v>
          </cell>
        </row>
        <row r="43">
          <cell r="O43">
            <v>0</v>
          </cell>
          <cell r="P43">
            <v>0</v>
          </cell>
          <cell r="Q43">
            <v>0</v>
          </cell>
          <cell r="S43">
            <v>0</v>
          </cell>
        </row>
        <row r="44">
          <cell r="O44">
            <v>0</v>
          </cell>
          <cell r="P44">
            <v>0</v>
          </cell>
          <cell r="Q44">
            <v>0</v>
          </cell>
          <cell r="S44">
            <v>0</v>
          </cell>
        </row>
        <row r="63">
          <cell r="E63"/>
          <cell r="F63"/>
          <cell r="G63"/>
          <cell r="H63"/>
          <cell r="I63"/>
        </row>
        <row r="64">
          <cell r="E64"/>
        </row>
      </sheetData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0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306"/>
  <sheetViews>
    <sheetView zoomScale="90" zoomScaleNormal="90" workbookViewId="0">
      <pane xSplit="7" ySplit="6" topLeftCell="H67" activePane="bottomRight" state="frozen"/>
      <selection activeCell="C13" sqref="C13"/>
      <selection pane="topRight" activeCell="C13" sqref="C13"/>
      <selection pane="bottomLeft" activeCell="C13" sqref="C13"/>
      <selection pane="bottomRight" activeCell="C13" sqref="C13"/>
    </sheetView>
  </sheetViews>
  <sheetFormatPr defaultColWidth="9.140625" defaultRowHeight="15" customHeight="1" x14ac:dyDescent="0.25"/>
  <cols>
    <col min="1" max="1" width="25" style="292" customWidth="1"/>
    <col min="2" max="7" width="8.7109375" style="292" customWidth="1"/>
    <col min="8" max="8" width="7.140625" style="327" bestFit="1" customWidth="1"/>
    <col min="9" max="9" width="4.42578125" style="327" bestFit="1" customWidth="1"/>
    <col min="10" max="10" width="7.140625" style="327" bestFit="1" customWidth="1"/>
    <col min="11" max="11" width="7.5703125" style="327" bestFit="1" customWidth="1"/>
    <col min="12" max="12" width="5.42578125" style="331" bestFit="1" customWidth="1"/>
    <col min="13" max="13" width="4.7109375" style="331" bestFit="1" customWidth="1"/>
    <col min="14" max="15" width="4.42578125" style="331" bestFit="1" customWidth="1"/>
    <col min="16" max="16" width="5.7109375" style="331" hidden="1" customWidth="1"/>
    <col min="17" max="17" width="7" style="331" customWidth="1"/>
    <col min="18" max="18" width="4.42578125" style="331" bestFit="1" customWidth="1"/>
    <col min="19" max="19" width="5.42578125" style="331" bestFit="1" customWidth="1"/>
    <col min="20" max="20" width="5.7109375" style="331" hidden="1" customWidth="1"/>
    <col min="21" max="21" width="7.28515625" style="331" bestFit="1" customWidth="1"/>
    <col min="22" max="22" width="5.7109375" style="331" hidden="1" customWidth="1"/>
    <col min="23" max="23" width="7.28515625" style="331" bestFit="1" customWidth="1"/>
    <col min="24" max="24" width="6.140625" style="331" bestFit="1" customWidth="1"/>
    <col min="25" max="26" width="11.42578125" style="306" hidden="1" customWidth="1"/>
    <col min="27" max="27" width="32.42578125" style="332" customWidth="1"/>
    <col min="28" max="16384" width="9.140625" style="292"/>
  </cols>
  <sheetData>
    <row r="1" spans="1:27" s="276" customFormat="1" ht="26.25" x14ac:dyDescent="0.2">
      <c r="A1" s="367" t="s">
        <v>152</v>
      </c>
      <c r="B1" s="367"/>
      <c r="C1" s="367"/>
      <c r="D1" s="367"/>
      <c r="E1" s="367"/>
      <c r="F1" s="367"/>
      <c r="G1" s="367"/>
      <c r="H1" s="367"/>
      <c r="I1" s="367"/>
      <c r="J1" s="367"/>
      <c r="K1" s="367"/>
      <c r="L1" s="367"/>
      <c r="M1" s="367"/>
      <c r="N1" s="367"/>
      <c r="O1" s="367"/>
      <c r="P1" s="367"/>
      <c r="Q1" s="367"/>
      <c r="R1" s="367"/>
      <c r="S1" s="367"/>
      <c r="T1" s="367"/>
      <c r="U1" s="367"/>
      <c r="V1" s="367"/>
      <c r="W1" s="367"/>
      <c r="X1" s="367"/>
      <c r="Y1" s="367"/>
      <c r="Z1" s="367"/>
      <c r="AA1" s="367"/>
    </row>
    <row r="2" spans="1:27" s="276" customFormat="1" ht="26.25" x14ac:dyDescent="0.2">
      <c r="A2" s="367" t="s">
        <v>214</v>
      </c>
      <c r="B2" s="367"/>
      <c r="C2" s="367"/>
      <c r="D2" s="367"/>
      <c r="E2" s="367"/>
      <c r="F2" s="367"/>
      <c r="G2" s="367"/>
      <c r="H2" s="367"/>
      <c r="I2" s="367"/>
      <c r="J2" s="367"/>
      <c r="K2" s="367"/>
      <c r="L2" s="367"/>
      <c r="M2" s="367"/>
      <c r="N2" s="367"/>
      <c r="O2" s="367"/>
      <c r="P2" s="367"/>
      <c r="Q2" s="367"/>
      <c r="R2" s="367"/>
      <c r="S2" s="367"/>
      <c r="T2" s="367"/>
      <c r="U2" s="367"/>
      <c r="V2" s="367"/>
      <c r="W2" s="367"/>
      <c r="X2" s="367"/>
      <c r="Y2" s="367"/>
      <c r="Z2" s="367"/>
      <c r="AA2" s="367"/>
    </row>
    <row r="3" spans="1:27" s="276" customFormat="1" ht="26.25" x14ac:dyDescent="0.2">
      <c r="A3" s="367" t="s">
        <v>215</v>
      </c>
      <c r="B3" s="367"/>
      <c r="C3" s="367"/>
      <c r="D3" s="367"/>
      <c r="E3" s="367"/>
      <c r="F3" s="367"/>
      <c r="G3" s="367"/>
      <c r="H3" s="367"/>
      <c r="I3" s="367"/>
      <c r="J3" s="367"/>
      <c r="K3" s="367"/>
      <c r="L3" s="367"/>
      <c r="M3" s="367"/>
      <c r="N3" s="367"/>
      <c r="O3" s="367"/>
      <c r="P3" s="367"/>
      <c r="Q3" s="367"/>
      <c r="R3" s="367"/>
      <c r="S3" s="367"/>
      <c r="T3" s="367"/>
      <c r="U3" s="367"/>
      <c r="V3" s="367"/>
      <c r="W3" s="367"/>
      <c r="X3" s="367"/>
      <c r="Y3" s="367"/>
      <c r="Z3" s="367"/>
      <c r="AA3" s="367"/>
    </row>
    <row r="4" spans="1:27" s="278" customFormat="1" ht="21.75" customHeight="1" thickBot="1" x14ac:dyDescent="0.25">
      <c r="A4" s="277"/>
      <c r="B4" s="279"/>
      <c r="C4" s="279"/>
      <c r="D4" s="279"/>
      <c r="E4" s="279"/>
      <c r="F4" s="279"/>
      <c r="G4" s="279"/>
      <c r="H4" s="368" t="s">
        <v>153</v>
      </c>
      <c r="I4" s="368"/>
      <c r="J4" s="368"/>
      <c r="K4" s="368"/>
      <c r="L4" s="368"/>
      <c r="M4" s="368"/>
      <c r="N4" s="368"/>
      <c r="O4" s="368"/>
      <c r="P4" s="368"/>
      <c r="Q4" s="368"/>
      <c r="R4" s="368"/>
      <c r="S4" s="368"/>
      <c r="T4" s="368"/>
      <c r="U4" s="368"/>
      <c r="V4" s="368"/>
      <c r="W4" s="368"/>
      <c r="X4" s="368"/>
      <c r="Y4" s="295"/>
      <c r="Z4" s="295"/>
    </row>
    <row r="5" spans="1:27" s="278" customFormat="1" ht="21.75" customHeight="1" thickBot="1" x14ac:dyDescent="0.25">
      <c r="A5" s="280" t="s">
        <v>154</v>
      </c>
      <c r="B5" s="281" t="s">
        <v>155</v>
      </c>
      <c r="C5" s="281"/>
      <c r="D5" s="281" t="s">
        <v>156</v>
      </c>
      <c r="E5" s="281"/>
      <c r="F5" s="281" t="s">
        <v>156</v>
      </c>
      <c r="G5" s="281"/>
      <c r="H5" s="369" t="s">
        <v>91</v>
      </c>
      <c r="I5" s="370"/>
      <c r="J5" s="370"/>
      <c r="K5" s="371"/>
      <c r="L5" s="372" t="s">
        <v>90</v>
      </c>
      <c r="M5" s="374" t="s">
        <v>157</v>
      </c>
      <c r="N5" s="374" t="s">
        <v>158</v>
      </c>
      <c r="O5" s="376" t="s">
        <v>159</v>
      </c>
      <c r="P5" s="377"/>
      <c r="Q5" s="378"/>
      <c r="R5" s="374" t="s">
        <v>160</v>
      </c>
      <c r="S5" s="376" t="s">
        <v>19</v>
      </c>
      <c r="T5" s="377"/>
      <c r="U5" s="378"/>
      <c r="V5" s="374" t="s">
        <v>124</v>
      </c>
      <c r="W5" s="374" t="s">
        <v>125</v>
      </c>
      <c r="X5" s="363" t="s">
        <v>105</v>
      </c>
      <c r="Y5" s="296" t="s">
        <v>161</v>
      </c>
      <c r="Z5" s="296"/>
      <c r="AA5" s="281" t="s">
        <v>162</v>
      </c>
    </row>
    <row r="6" spans="1:27" s="278" customFormat="1" ht="21.75" customHeight="1" thickBot="1" x14ac:dyDescent="0.25">
      <c r="A6" s="280"/>
      <c r="B6" s="281" t="s">
        <v>163</v>
      </c>
      <c r="C6" s="281" t="s">
        <v>164</v>
      </c>
      <c r="D6" s="281" t="s">
        <v>163</v>
      </c>
      <c r="E6" s="281" t="s">
        <v>164</v>
      </c>
      <c r="F6" s="281" t="s">
        <v>163</v>
      </c>
      <c r="G6" s="281" t="s">
        <v>164</v>
      </c>
      <c r="H6" s="282" t="s">
        <v>165</v>
      </c>
      <c r="I6" s="282" t="s">
        <v>93</v>
      </c>
      <c r="J6" s="282" t="s">
        <v>94</v>
      </c>
      <c r="K6" s="283" t="s">
        <v>166</v>
      </c>
      <c r="L6" s="373"/>
      <c r="M6" s="375"/>
      <c r="N6" s="375"/>
      <c r="O6" s="284" t="s">
        <v>167</v>
      </c>
      <c r="P6" s="284" t="s">
        <v>168</v>
      </c>
      <c r="Q6" s="315" t="s">
        <v>125</v>
      </c>
      <c r="R6" s="375"/>
      <c r="S6" s="284" t="s">
        <v>167</v>
      </c>
      <c r="T6" s="284" t="s">
        <v>168</v>
      </c>
      <c r="U6" s="315" t="s">
        <v>125</v>
      </c>
      <c r="V6" s="375"/>
      <c r="W6" s="375"/>
      <c r="X6" s="364"/>
      <c r="Y6" s="296" t="s">
        <v>163</v>
      </c>
      <c r="Z6" s="296" t="s">
        <v>164</v>
      </c>
      <c r="AA6" s="281"/>
    </row>
    <row r="7" spans="1:27" s="276" customFormat="1" ht="21.75" customHeight="1" x14ac:dyDescent="0.2">
      <c r="A7" s="297" t="s">
        <v>169</v>
      </c>
      <c r="B7" s="285" t="s">
        <v>170</v>
      </c>
      <c r="C7" s="285"/>
      <c r="D7" s="285"/>
      <c r="E7" s="285"/>
      <c r="F7" s="285"/>
      <c r="G7" s="285"/>
      <c r="H7" s="316"/>
      <c r="I7" s="316"/>
      <c r="J7" s="316"/>
      <c r="K7" s="316"/>
      <c r="L7" s="317"/>
      <c r="M7" s="317"/>
      <c r="N7" s="317"/>
      <c r="O7" s="317"/>
      <c r="P7" s="317"/>
      <c r="Q7" s="317"/>
      <c r="R7" s="317"/>
      <c r="S7" s="317"/>
      <c r="T7" s="317"/>
      <c r="U7" s="317"/>
      <c r="V7" s="317"/>
      <c r="W7" s="317"/>
      <c r="X7" s="317"/>
      <c r="Y7" s="308"/>
      <c r="Z7" s="308"/>
      <c r="AA7" s="285"/>
    </row>
    <row r="8" spans="1:27" s="276" customFormat="1" ht="21.75" customHeight="1" x14ac:dyDescent="0.2">
      <c r="A8" s="297" t="s">
        <v>171</v>
      </c>
      <c r="B8" s="285" t="s">
        <v>172</v>
      </c>
      <c r="C8" s="285"/>
      <c r="D8" s="285"/>
      <c r="E8" s="285"/>
      <c r="F8" s="285"/>
      <c r="G8" s="285"/>
      <c r="H8" s="316"/>
      <c r="I8" s="316"/>
      <c r="J8" s="316"/>
      <c r="K8" s="316"/>
      <c r="L8" s="317"/>
      <c r="M8" s="317"/>
      <c r="N8" s="317"/>
      <c r="O8" s="317"/>
      <c r="P8" s="317"/>
      <c r="Q8" s="317"/>
      <c r="R8" s="317"/>
      <c r="S8" s="317"/>
      <c r="T8" s="317"/>
      <c r="U8" s="317"/>
      <c r="V8" s="317"/>
      <c r="W8" s="317"/>
      <c r="X8" s="317"/>
      <c r="Y8" s="308"/>
      <c r="Z8" s="308"/>
      <c r="AA8" s="285"/>
    </row>
    <row r="9" spans="1:27" s="276" customFormat="1" ht="21.75" customHeight="1" x14ac:dyDescent="0.2">
      <c r="A9" s="293" t="s">
        <v>216</v>
      </c>
      <c r="B9" s="287">
        <v>0.20277777777777781</v>
      </c>
      <c r="C9" s="287">
        <v>0.66666666666666663</v>
      </c>
      <c r="D9" s="287">
        <v>0.20277777777777781</v>
      </c>
      <c r="E9" s="287">
        <v>0.66666666666666663</v>
      </c>
      <c r="F9" s="288">
        <v>0.22916666666666666</v>
      </c>
      <c r="G9" s="288">
        <v>0.60416666666666663</v>
      </c>
      <c r="H9" s="318"/>
      <c r="I9" s="318"/>
      <c r="J9" s="319"/>
      <c r="K9" s="318"/>
      <c r="L9" s="320">
        <v>1</v>
      </c>
      <c r="M9" s="320"/>
      <c r="N9" s="320"/>
      <c r="O9" s="321"/>
      <c r="P9" s="320"/>
      <c r="Q9" s="321"/>
      <c r="R9" s="320"/>
      <c r="S9" s="321"/>
      <c r="T9" s="320"/>
      <c r="U9" s="321"/>
      <c r="V9" s="320"/>
      <c r="W9" s="321"/>
      <c r="X9" s="320"/>
      <c r="Y9" s="298">
        <v>0.33333333333333331</v>
      </c>
      <c r="Z9" s="298">
        <v>0.75</v>
      </c>
      <c r="AA9" s="293" t="s">
        <v>217</v>
      </c>
    </row>
    <row r="10" spans="1:27" s="276" customFormat="1" ht="21.75" customHeight="1" x14ac:dyDescent="0.2">
      <c r="A10" s="294" t="s">
        <v>218</v>
      </c>
      <c r="B10" s="286">
        <v>0.20347222222222219</v>
      </c>
      <c r="C10" s="286">
        <v>0.66875000000000007</v>
      </c>
      <c r="D10" s="286">
        <v>0.20347222222222219</v>
      </c>
      <c r="E10" s="286">
        <v>0.66875000000000007</v>
      </c>
      <c r="F10" s="307">
        <v>0.22916666666666666</v>
      </c>
      <c r="G10" s="307">
        <v>0.60416666666666663</v>
      </c>
      <c r="H10" s="322"/>
      <c r="I10" s="322"/>
      <c r="J10" s="323"/>
      <c r="K10" s="322"/>
      <c r="L10" s="324">
        <v>1</v>
      </c>
      <c r="M10" s="324"/>
      <c r="N10" s="324"/>
      <c r="O10" s="325"/>
      <c r="P10" s="324"/>
      <c r="Q10" s="325"/>
      <c r="R10" s="324"/>
      <c r="S10" s="325"/>
      <c r="T10" s="324"/>
      <c r="U10" s="325"/>
      <c r="V10" s="324"/>
      <c r="W10" s="325"/>
      <c r="X10" s="324"/>
      <c r="Y10" s="299">
        <v>0.33333333333333331</v>
      </c>
      <c r="Z10" s="299">
        <v>0.75</v>
      </c>
      <c r="AA10" s="294" t="s">
        <v>217</v>
      </c>
    </row>
    <row r="11" spans="1:27" s="276" customFormat="1" ht="21.75" customHeight="1" x14ac:dyDescent="0.2">
      <c r="A11" s="293" t="s">
        <v>219</v>
      </c>
      <c r="B11" s="300"/>
      <c r="C11" s="300"/>
      <c r="D11" s="301"/>
      <c r="E11" s="301"/>
      <c r="F11" s="365" t="s">
        <v>174</v>
      </c>
      <c r="G11" s="365"/>
      <c r="H11" s="318"/>
      <c r="I11" s="318"/>
      <c r="J11" s="319"/>
      <c r="K11" s="318"/>
      <c r="L11" s="320">
        <v>1</v>
      </c>
      <c r="M11" s="320"/>
      <c r="N11" s="320"/>
      <c r="O11" s="321"/>
      <c r="P11" s="320"/>
      <c r="Q11" s="321"/>
      <c r="R11" s="320"/>
      <c r="S11" s="321"/>
      <c r="T11" s="320"/>
      <c r="U11" s="321"/>
      <c r="V11" s="320"/>
      <c r="W11" s="321"/>
      <c r="X11" s="320"/>
      <c r="Y11" s="302"/>
      <c r="Z11" s="302"/>
      <c r="AA11" s="293"/>
    </row>
    <row r="12" spans="1:27" s="276" customFormat="1" ht="21.75" customHeight="1" x14ac:dyDescent="0.2">
      <c r="A12" s="294" t="s">
        <v>220</v>
      </c>
      <c r="B12" s="289"/>
      <c r="C12" s="289"/>
      <c r="D12" s="290"/>
      <c r="E12" s="290"/>
      <c r="F12" s="366" t="s">
        <v>221</v>
      </c>
      <c r="G12" s="366"/>
      <c r="H12" s="322"/>
      <c r="I12" s="322"/>
      <c r="J12" s="323"/>
      <c r="K12" s="322"/>
      <c r="L12" s="324"/>
      <c r="M12" s="324"/>
      <c r="N12" s="324"/>
      <c r="O12" s="325"/>
      <c r="P12" s="324"/>
      <c r="Q12" s="325"/>
      <c r="R12" s="324"/>
      <c r="S12" s="325"/>
      <c r="T12" s="324"/>
      <c r="U12" s="325"/>
      <c r="V12" s="324"/>
      <c r="W12" s="325"/>
      <c r="X12" s="324"/>
      <c r="Y12" s="303"/>
      <c r="Z12" s="303"/>
      <c r="AA12" s="294"/>
    </row>
    <row r="13" spans="1:27" s="276" customFormat="1" ht="21.75" customHeight="1" x14ac:dyDescent="0.2">
      <c r="A13" s="293" t="s">
        <v>222</v>
      </c>
      <c r="B13" s="287">
        <v>0.58888888888888891</v>
      </c>
      <c r="C13" s="287">
        <v>0.98125000000000007</v>
      </c>
      <c r="D13" s="287">
        <v>0.58888888888888891</v>
      </c>
      <c r="E13" s="287">
        <v>0.98125000000000007</v>
      </c>
      <c r="F13" s="288">
        <v>0.60416666666666663</v>
      </c>
      <c r="G13" s="288">
        <v>0.97916666666666663</v>
      </c>
      <c r="H13" s="318"/>
      <c r="I13" s="318"/>
      <c r="J13" s="319"/>
      <c r="K13" s="318"/>
      <c r="L13" s="320">
        <v>1</v>
      </c>
      <c r="M13" s="320"/>
      <c r="N13" s="320"/>
      <c r="O13" s="321"/>
      <c r="P13" s="320"/>
      <c r="Q13" s="321"/>
      <c r="R13" s="320"/>
      <c r="S13" s="321">
        <v>1.5</v>
      </c>
      <c r="T13" s="320"/>
      <c r="U13" s="321"/>
      <c r="V13" s="320"/>
      <c r="W13" s="321"/>
      <c r="X13" s="320"/>
      <c r="Y13" s="298">
        <v>0.33333333333333331</v>
      </c>
      <c r="Z13" s="298">
        <v>0.75</v>
      </c>
      <c r="AA13" s="293"/>
    </row>
    <row r="14" spans="1:27" s="276" customFormat="1" ht="21.75" customHeight="1" x14ac:dyDescent="0.2">
      <c r="A14" s="294" t="s">
        <v>223</v>
      </c>
      <c r="B14" s="289"/>
      <c r="C14" s="289"/>
      <c r="D14" s="290"/>
      <c r="E14" s="290"/>
      <c r="F14" s="366" t="s">
        <v>224</v>
      </c>
      <c r="G14" s="366"/>
      <c r="H14" s="322"/>
      <c r="I14" s="322"/>
      <c r="J14" s="323"/>
      <c r="K14" s="322"/>
      <c r="L14" s="324"/>
      <c r="M14" s="324"/>
      <c r="N14" s="324"/>
      <c r="O14" s="325"/>
      <c r="P14" s="324"/>
      <c r="Q14" s="325"/>
      <c r="R14" s="324"/>
      <c r="S14" s="325"/>
      <c r="T14" s="324"/>
      <c r="U14" s="325"/>
      <c r="V14" s="324"/>
      <c r="W14" s="325"/>
      <c r="X14" s="324"/>
      <c r="Y14" s="303"/>
      <c r="Z14" s="303"/>
      <c r="AA14" s="294"/>
    </row>
    <row r="15" spans="1:27" s="276" customFormat="1" ht="21.75" customHeight="1" x14ac:dyDescent="0.2">
      <c r="A15" s="293" t="s">
        <v>225</v>
      </c>
      <c r="B15" s="300"/>
      <c r="C15" s="300"/>
      <c r="D15" s="301"/>
      <c r="E15" s="301"/>
      <c r="F15" s="365" t="s">
        <v>224</v>
      </c>
      <c r="G15" s="365"/>
      <c r="H15" s="318"/>
      <c r="I15" s="318"/>
      <c r="J15" s="319"/>
      <c r="K15" s="318"/>
      <c r="L15" s="320"/>
      <c r="M15" s="320"/>
      <c r="N15" s="320"/>
      <c r="O15" s="321"/>
      <c r="P15" s="320"/>
      <c r="Q15" s="321"/>
      <c r="R15" s="320"/>
      <c r="S15" s="321"/>
      <c r="T15" s="320"/>
      <c r="U15" s="321"/>
      <c r="V15" s="320"/>
      <c r="W15" s="321"/>
      <c r="X15" s="320"/>
      <c r="Y15" s="302"/>
      <c r="Z15" s="302"/>
      <c r="AA15" s="293"/>
    </row>
    <row r="16" spans="1:27" s="276" customFormat="1" ht="21.75" customHeight="1" x14ac:dyDescent="0.2">
      <c r="A16" s="294" t="s">
        <v>226</v>
      </c>
      <c r="B16" s="286">
        <v>0.20694444444444446</v>
      </c>
      <c r="C16" s="286">
        <v>0.64652777777777781</v>
      </c>
      <c r="D16" s="286">
        <v>0.20694444444444446</v>
      </c>
      <c r="E16" s="286">
        <v>0.64652777777777781</v>
      </c>
      <c r="F16" s="307">
        <v>0.22916666666666666</v>
      </c>
      <c r="G16" s="307">
        <v>0.60416666666666663</v>
      </c>
      <c r="H16" s="322"/>
      <c r="I16" s="322"/>
      <c r="J16" s="323"/>
      <c r="K16" s="322"/>
      <c r="L16" s="324">
        <v>1</v>
      </c>
      <c r="M16" s="324"/>
      <c r="N16" s="324"/>
      <c r="O16" s="325"/>
      <c r="P16" s="324"/>
      <c r="Q16" s="325"/>
      <c r="R16" s="324"/>
      <c r="S16" s="325"/>
      <c r="T16" s="324"/>
      <c r="U16" s="325"/>
      <c r="V16" s="324"/>
      <c r="W16" s="325"/>
      <c r="X16" s="324"/>
      <c r="Y16" s="299">
        <v>0.33333333333333331</v>
      </c>
      <c r="Z16" s="299">
        <v>0.75</v>
      </c>
      <c r="AA16" s="294" t="s">
        <v>227</v>
      </c>
    </row>
    <row r="17" spans="1:27" s="276" customFormat="1" ht="21.75" customHeight="1" x14ac:dyDescent="0.2">
      <c r="A17" s="293" t="s">
        <v>228</v>
      </c>
      <c r="B17" s="287">
        <v>0.20277777777777781</v>
      </c>
      <c r="C17" s="287">
        <v>0.65347222222222223</v>
      </c>
      <c r="D17" s="287">
        <v>0.20277777777777781</v>
      </c>
      <c r="E17" s="287">
        <v>0.65347222222222223</v>
      </c>
      <c r="F17" s="288">
        <v>0.22916666666666666</v>
      </c>
      <c r="G17" s="288">
        <v>0.60416666666666663</v>
      </c>
      <c r="H17" s="318"/>
      <c r="I17" s="318"/>
      <c r="J17" s="319"/>
      <c r="K17" s="318"/>
      <c r="L17" s="320">
        <v>1</v>
      </c>
      <c r="M17" s="320"/>
      <c r="N17" s="320"/>
      <c r="O17" s="321"/>
      <c r="P17" s="320"/>
      <c r="Q17" s="321"/>
      <c r="R17" s="320"/>
      <c r="S17" s="321"/>
      <c r="T17" s="320"/>
      <c r="U17" s="321"/>
      <c r="V17" s="320"/>
      <c r="W17" s="321"/>
      <c r="X17" s="320"/>
      <c r="Y17" s="298">
        <v>0.33333333333333331</v>
      </c>
      <c r="Z17" s="298">
        <v>0.75</v>
      </c>
      <c r="AA17" s="293" t="s">
        <v>227</v>
      </c>
    </row>
    <row r="18" spans="1:27" s="276" customFormat="1" ht="21.75" customHeight="1" x14ac:dyDescent="0.2">
      <c r="A18" s="294" t="s">
        <v>229</v>
      </c>
      <c r="B18" s="286">
        <v>0.39374999999999999</v>
      </c>
      <c r="C18" s="286">
        <v>0.875</v>
      </c>
      <c r="D18" s="286">
        <v>0.39374999999999999</v>
      </c>
      <c r="E18" s="286">
        <v>0.875</v>
      </c>
      <c r="F18" s="307">
        <v>0.41666666666666669</v>
      </c>
      <c r="G18" s="307">
        <v>0.875</v>
      </c>
      <c r="H18" s="322"/>
      <c r="I18" s="322"/>
      <c r="J18" s="323"/>
      <c r="K18" s="322"/>
      <c r="L18" s="324">
        <v>1</v>
      </c>
      <c r="M18" s="324"/>
      <c r="N18" s="324"/>
      <c r="O18" s="325"/>
      <c r="P18" s="324"/>
      <c r="Q18" s="325"/>
      <c r="R18" s="324"/>
      <c r="S18" s="325"/>
      <c r="T18" s="324"/>
      <c r="U18" s="325"/>
      <c r="V18" s="324"/>
      <c r="W18" s="325"/>
      <c r="X18" s="324"/>
      <c r="Y18" s="299">
        <v>0.33333333333333331</v>
      </c>
      <c r="Z18" s="299">
        <v>0.75</v>
      </c>
      <c r="AA18" s="294" t="s">
        <v>230</v>
      </c>
    </row>
    <row r="19" spans="1:27" s="276" customFormat="1" ht="21.75" customHeight="1" x14ac:dyDescent="0.2">
      <c r="A19" s="293" t="s">
        <v>231</v>
      </c>
      <c r="B19" s="300"/>
      <c r="C19" s="300"/>
      <c r="D19" s="301"/>
      <c r="E19" s="301"/>
      <c r="F19" s="365" t="s">
        <v>173</v>
      </c>
      <c r="G19" s="365"/>
      <c r="H19" s="318"/>
      <c r="I19" s="318"/>
      <c r="J19" s="319"/>
      <c r="K19" s="318"/>
      <c r="L19" s="320"/>
      <c r="M19" s="320"/>
      <c r="N19" s="320"/>
      <c r="O19" s="321"/>
      <c r="P19" s="320"/>
      <c r="Q19" s="321"/>
      <c r="R19" s="320"/>
      <c r="S19" s="321"/>
      <c r="T19" s="320"/>
      <c r="U19" s="321"/>
      <c r="V19" s="320"/>
      <c r="W19" s="321"/>
      <c r="X19" s="320"/>
      <c r="Y19" s="302"/>
      <c r="Z19" s="302"/>
      <c r="AA19" s="293"/>
    </row>
    <row r="20" spans="1:27" s="276" customFormat="1" ht="21.75" customHeight="1" x14ac:dyDescent="0.2">
      <c r="A20" s="294" t="s">
        <v>232</v>
      </c>
      <c r="B20" s="286">
        <v>0.20486111111111113</v>
      </c>
      <c r="C20" s="286">
        <v>0.64722222222222225</v>
      </c>
      <c r="D20" s="286">
        <v>0.20486111111111113</v>
      </c>
      <c r="E20" s="286">
        <v>0.64722222222222225</v>
      </c>
      <c r="F20" s="307">
        <v>0.22916666666666666</v>
      </c>
      <c r="G20" s="307">
        <v>0.60416666666666663</v>
      </c>
      <c r="H20" s="322"/>
      <c r="I20" s="322"/>
      <c r="J20" s="323"/>
      <c r="K20" s="322"/>
      <c r="L20" s="324">
        <v>1</v>
      </c>
      <c r="M20" s="324"/>
      <c r="N20" s="324"/>
      <c r="O20" s="325"/>
      <c r="P20" s="324"/>
      <c r="Q20" s="325"/>
      <c r="R20" s="324"/>
      <c r="S20" s="325"/>
      <c r="T20" s="324"/>
      <c r="U20" s="325"/>
      <c r="V20" s="324"/>
      <c r="W20" s="325"/>
      <c r="X20" s="324"/>
      <c r="Y20" s="299">
        <v>0.33333333333333331</v>
      </c>
      <c r="Z20" s="299">
        <v>0.75</v>
      </c>
      <c r="AA20" s="294" t="s">
        <v>227</v>
      </c>
    </row>
    <row r="21" spans="1:27" s="276" customFormat="1" ht="21.75" customHeight="1" x14ac:dyDescent="0.2">
      <c r="A21" s="293" t="s">
        <v>233</v>
      </c>
      <c r="B21" s="287">
        <v>0.20972222222222223</v>
      </c>
      <c r="C21" s="287">
        <v>0.65416666666666667</v>
      </c>
      <c r="D21" s="287">
        <v>0.20972222222222223</v>
      </c>
      <c r="E21" s="287">
        <v>0.65416666666666667</v>
      </c>
      <c r="F21" s="288">
        <v>0.22916666666666666</v>
      </c>
      <c r="G21" s="288">
        <v>0.60416666666666663</v>
      </c>
      <c r="H21" s="318"/>
      <c r="I21" s="318"/>
      <c r="J21" s="319"/>
      <c r="K21" s="318"/>
      <c r="L21" s="320">
        <v>1</v>
      </c>
      <c r="M21" s="320"/>
      <c r="N21" s="320"/>
      <c r="O21" s="321"/>
      <c r="P21" s="320"/>
      <c r="Q21" s="321"/>
      <c r="R21" s="320"/>
      <c r="S21" s="321"/>
      <c r="T21" s="320"/>
      <c r="U21" s="321"/>
      <c r="V21" s="320"/>
      <c r="W21" s="321"/>
      <c r="X21" s="320"/>
      <c r="Y21" s="298">
        <v>0.33333333333333331</v>
      </c>
      <c r="Z21" s="298">
        <v>0.75</v>
      </c>
      <c r="AA21" s="293"/>
    </row>
    <row r="22" spans="1:27" s="276" customFormat="1" ht="21.75" customHeight="1" x14ac:dyDescent="0.2">
      <c r="A22" s="294" t="s">
        <v>234</v>
      </c>
      <c r="B22" s="289"/>
      <c r="C22" s="289"/>
      <c r="D22" s="290"/>
      <c r="E22" s="290"/>
      <c r="F22" s="366" t="s">
        <v>235</v>
      </c>
      <c r="G22" s="366"/>
      <c r="H22" s="322"/>
      <c r="I22" s="322"/>
      <c r="J22" s="323"/>
      <c r="K22" s="322"/>
      <c r="L22" s="324">
        <v>1</v>
      </c>
      <c r="M22" s="324"/>
      <c r="N22" s="324"/>
      <c r="O22" s="325"/>
      <c r="P22" s="324"/>
      <c r="Q22" s="325"/>
      <c r="R22" s="324"/>
      <c r="S22" s="325"/>
      <c r="T22" s="324"/>
      <c r="U22" s="325"/>
      <c r="V22" s="324"/>
      <c r="W22" s="325"/>
      <c r="X22" s="324"/>
      <c r="Y22" s="303"/>
      <c r="Z22" s="303"/>
      <c r="AA22" s="294"/>
    </row>
    <row r="23" spans="1:27" s="276" customFormat="1" ht="21.75" customHeight="1" x14ac:dyDescent="0.2">
      <c r="A23" s="293" t="s">
        <v>236</v>
      </c>
      <c r="B23" s="300"/>
      <c r="C23" s="300"/>
      <c r="D23" s="301"/>
      <c r="E23" s="301"/>
      <c r="F23" s="365" t="s">
        <v>235</v>
      </c>
      <c r="G23" s="365"/>
      <c r="H23" s="318"/>
      <c r="I23" s="318"/>
      <c r="J23" s="319"/>
      <c r="K23" s="318"/>
      <c r="L23" s="320">
        <v>1</v>
      </c>
      <c r="M23" s="320"/>
      <c r="N23" s="320"/>
      <c r="O23" s="321"/>
      <c r="P23" s="320"/>
      <c r="Q23" s="321"/>
      <c r="R23" s="320"/>
      <c r="S23" s="321"/>
      <c r="T23" s="320"/>
      <c r="U23" s="321"/>
      <c r="V23" s="320"/>
      <c r="W23" s="321"/>
      <c r="X23" s="320"/>
      <c r="Y23" s="302"/>
      <c r="Z23" s="302"/>
      <c r="AA23" s="293"/>
    </row>
    <row r="24" spans="1:27" s="276" customFormat="1" ht="21.75" customHeight="1" x14ac:dyDescent="0.2">
      <c r="A24" s="294" t="s">
        <v>237</v>
      </c>
      <c r="B24" s="289"/>
      <c r="C24" s="289"/>
      <c r="D24" s="290"/>
      <c r="E24" s="290"/>
      <c r="F24" s="366" t="s">
        <v>235</v>
      </c>
      <c r="G24" s="366"/>
      <c r="H24" s="322"/>
      <c r="I24" s="322"/>
      <c r="J24" s="323"/>
      <c r="K24" s="322"/>
      <c r="L24" s="324">
        <v>1</v>
      </c>
      <c r="M24" s="324"/>
      <c r="N24" s="324"/>
      <c r="O24" s="325"/>
      <c r="P24" s="324"/>
      <c r="Q24" s="325"/>
      <c r="R24" s="324"/>
      <c r="S24" s="325"/>
      <c r="T24" s="324"/>
      <c r="U24" s="325"/>
      <c r="V24" s="324"/>
      <c r="W24" s="325"/>
      <c r="X24" s="324"/>
      <c r="Y24" s="303"/>
      <c r="Z24" s="303"/>
      <c r="AA24" s="294"/>
    </row>
    <row r="25" spans="1:27" s="276" customFormat="1" ht="21.75" customHeight="1" x14ac:dyDescent="0.2">
      <c r="A25" s="281" t="s">
        <v>3</v>
      </c>
      <c r="B25" s="281"/>
      <c r="C25" s="281"/>
      <c r="D25" s="281"/>
      <c r="E25" s="281"/>
      <c r="F25" s="281"/>
      <c r="G25" s="281"/>
      <c r="H25" s="326">
        <f>SUM(H8:H24)</f>
        <v>0</v>
      </c>
      <c r="I25" s="326">
        <f t="shared" ref="I25:X25" si="0">SUM(I8:I24)</f>
        <v>0</v>
      </c>
      <c r="J25" s="326">
        <f t="shared" si="0"/>
        <v>0</v>
      </c>
      <c r="K25" s="326">
        <f t="shared" si="0"/>
        <v>0</v>
      </c>
      <c r="L25" s="326">
        <f t="shared" si="0"/>
        <v>12</v>
      </c>
      <c r="M25" s="326">
        <f t="shared" si="0"/>
        <v>0</v>
      </c>
      <c r="N25" s="326">
        <f t="shared" si="0"/>
        <v>0</v>
      </c>
      <c r="O25" s="326">
        <f t="shared" si="0"/>
        <v>0</v>
      </c>
      <c r="P25" s="326">
        <f t="shared" si="0"/>
        <v>0</v>
      </c>
      <c r="Q25" s="326">
        <f t="shared" si="0"/>
        <v>0</v>
      </c>
      <c r="R25" s="326">
        <f t="shared" si="0"/>
        <v>0</v>
      </c>
      <c r="S25" s="326">
        <f t="shared" si="0"/>
        <v>1.5</v>
      </c>
      <c r="T25" s="326">
        <f t="shared" si="0"/>
        <v>0</v>
      </c>
      <c r="U25" s="326">
        <f t="shared" si="0"/>
        <v>0</v>
      </c>
      <c r="V25" s="326">
        <f t="shared" si="0"/>
        <v>0</v>
      </c>
      <c r="W25" s="326">
        <f t="shared" si="0"/>
        <v>0</v>
      </c>
      <c r="X25" s="326">
        <f t="shared" si="0"/>
        <v>0</v>
      </c>
      <c r="Y25" s="296"/>
      <c r="Z25" s="296"/>
      <c r="AA25" s="281"/>
    </row>
    <row r="26" spans="1:27" s="276" customFormat="1" ht="21.75" customHeight="1" thickBot="1" x14ac:dyDescent="0.25">
      <c r="H26" s="327"/>
      <c r="I26" s="327"/>
      <c r="J26" s="327"/>
      <c r="K26" s="327"/>
      <c r="L26" s="328"/>
      <c r="M26" s="328"/>
      <c r="N26" s="328"/>
      <c r="O26" s="328"/>
      <c r="P26" s="328"/>
      <c r="Q26" s="328"/>
      <c r="R26" s="328"/>
      <c r="S26" s="328"/>
      <c r="T26" s="328"/>
      <c r="U26" s="328"/>
      <c r="V26" s="328"/>
      <c r="W26" s="328"/>
      <c r="X26" s="328"/>
      <c r="Y26" s="304"/>
      <c r="Z26" s="304"/>
    </row>
    <row r="27" spans="1:27" s="276" customFormat="1" ht="21.75" customHeight="1" thickBot="1" x14ac:dyDescent="0.25">
      <c r="A27" s="297" t="s">
        <v>169</v>
      </c>
      <c r="B27" s="285" t="s">
        <v>175</v>
      </c>
      <c r="C27" s="285"/>
      <c r="D27" s="285"/>
      <c r="E27" s="285"/>
      <c r="F27" s="285"/>
      <c r="G27" s="285"/>
      <c r="H27" s="369" t="s">
        <v>91</v>
      </c>
      <c r="I27" s="370"/>
      <c r="J27" s="370"/>
      <c r="K27" s="371"/>
      <c r="L27" s="372" t="s">
        <v>90</v>
      </c>
      <c r="M27" s="374" t="s">
        <v>157</v>
      </c>
      <c r="N27" s="374" t="s">
        <v>158</v>
      </c>
      <c r="O27" s="376" t="s">
        <v>159</v>
      </c>
      <c r="P27" s="377"/>
      <c r="Q27" s="378"/>
      <c r="R27" s="374" t="s">
        <v>160</v>
      </c>
      <c r="S27" s="376" t="s">
        <v>19</v>
      </c>
      <c r="T27" s="377"/>
      <c r="U27" s="378"/>
      <c r="V27" s="374" t="s">
        <v>124</v>
      </c>
      <c r="W27" s="374" t="s">
        <v>125</v>
      </c>
      <c r="X27" s="363" t="s">
        <v>105</v>
      </c>
      <c r="Y27" s="296" t="s">
        <v>161</v>
      </c>
      <c r="Z27" s="296"/>
      <c r="AA27" s="281" t="s">
        <v>162</v>
      </c>
    </row>
    <row r="28" spans="1:27" s="276" customFormat="1" ht="21.75" customHeight="1" thickBot="1" x14ac:dyDescent="0.25">
      <c r="A28" s="297" t="s">
        <v>171</v>
      </c>
      <c r="B28" s="285" t="s">
        <v>176</v>
      </c>
      <c r="C28" s="285"/>
      <c r="D28" s="285"/>
      <c r="E28" s="285"/>
      <c r="F28" s="285"/>
      <c r="G28" s="285"/>
      <c r="H28" s="282" t="s">
        <v>165</v>
      </c>
      <c r="I28" s="282" t="s">
        <v>93</v>
      </c>
      <c r="J28" s="282" t="s">
        <v>94</v>
      </c>
      <c r="K28" s="283" t="s">
        <v>166</v>
      </c>
      <c r="L28" s="373"/>
      <c r="M28" s="375"/>
      <c r="N28" s="375"/>
      <c r="O28" s="284" t="s">
        <v>167</v>
      </c>
      <c r="P28" s="284" t="s">
        <v>168</v>
      </c>
      <c r="Q28" s="315" t="s">
        <v>125</v>
      </c>
      <c r="R28" s="375"/>
      <c r="S28" s="284" t="s">
        <v>167</v>
      </c>
      <c r="T28" s="284" t="s">
        <v>168</v>
      </c>
      <c r="U28" s="315" t="s">
        <v>125</v>
      </c>
      <c r="V28" s="375"/>
      <c r="W28" s="375"/>
      <c r="X28" s="364"/>
      <c r="Y28" s="296" t="s">
        <v>163</v>
      </c>
      <c r="Z28" s="296" t="s">
        <v>164</v>
      </c>
      <c r="AA28" s="281"/>
    </row>
    <row r="29" spans="1:27" s="276" customFormat="1" ht="21.75" customHeight="1" x14ac:dyDescent="0.2">
      <c r="A29" s="293" t="s">
        <v>216</v>
      </c>
      <c r="B29" s="287">
        <v>0.4597222222222222</v>
      </c>
      <c r="C29" s="287">
        <v>0.62569444444444444</v>
      </c>
      <c r="D29" s="287">
        <v>0.4597222222222222</v>
      </c>
      <c r="E29" s="287">
        <v>0.62569444444444444</v>
      </c>
      <c r="F29" s="288">
        <v>0.47916666666666669</v>
      </c>
      <c r="G29" s="288">
        <v>0.62569444444444444</v>
      </c>
      <c r="H29" s="318"/>
      <c r="I29" s="318"/>
      <c r="J29" s="319"/>
      <c r="K29" s="318"/>
      <c r="L29" s="320"/>
      <c r="M29" s="320"/>
      <c r="N29" s="320"/>
      <c r="O29" s="321"/>
      <c r="P29" s="320"/>
      <c r="Q29" s="321"/>
      <c r="R29" s="320"/>
      <c r="S29" s="321"/>
      <c r="T29" s="320"/>
      <c r="U29" s="321"/>
      <c r="V29" s="320"/>
      <c r="W29" s="321"/>
      <c r="X29" s="320"/>
      <c r="Y29" s="298">
        <v>0.33333333333333331</v>
      </c>
      <c r="Z29" s="298">
        <v>0.70833333333333337</v>
      </c>
      <c r="AA29" s="293"/>
    </row>
    <row r="30" spans="1:27" s="276" customFormat="1" ht="21.75" customHeight="1" x14ac:dyDescent="0.2">
      <c r="A30" s="294" t="s">
        <v>216</v>
      </c>
      <c r="B30" s="286">
        <v>0.74930555555555556</v>
      </c>
      <c r="C30" s="286">
        <v>0.97916666666666663</v>
      </c>
      <c r="D30" s="286">
        <v>0.74930555555555556</v>
      </c>
      <c r="E30" s="286">
        <v>0.97916666666666663</v>
      </c>
      <c r="F30" s="307">
        <v>0.79236111111111107</v>
      </c>
      <c r="G30" s="307">
        <v>0.97916666666666663</v>
      </c>
      <c r="H30" s="322"/>
      <c r="I30" s="322"/>
      <c r="J30" s="323"/>
      <c r="K30" s="322"/>
      <c r="L30" s="324">
        <v>1</v>
      </c>
      <c r="M30" s="324"/>
      <c r="N30" s="324"/>
      <c r="O30" s="325"/>
      <c r="P30" s="324"/>
      <c r="Q30" s="325"/>
      <c r="R30" s="324"/>
      <c r="S30" s="325">
        <v>1.5</v>
      </c>
      <c r="T30" s="324"/>
      <c r="U30" s="325"/>
      <c r="V30" s="324"/>
      <c r="W30" s="325"/>
      <c r="X30" s="324"/>
      <c r="Y30" s="299">
        <v>0.33333333333333331</v>
      </c>
      <c r="Z30" s="299">
        <v>0.70833333333333337</v>
      </c>
      <c r="AA30" s="294"/>
    </row>
    <row r="31" spans="1:27" s="276" customFormat="1" ht="21.75" customHeight="1" x14ac:dyDescent="0.2">
      <c r="A31" s="293" t="s">
        <v>218</v>
      </c>
      <c r="B31" s="287">
        <v>0.46319444444444446</v>
      </c>
      <c r="C31" s="287">
        <v>0.62569444444444444</v>
      </c>
      <c r="D31" s="287">
        <v>0.46319444444444446</v>
      </c>
      <c r="E31" s="287">
        <v>0.62569444444444444</v>
      </c>
      <c r="F31" s="288">
        <v>0.47916666666666669</v>
      </c>
      <c r="G31" s="288">
        <v>0.62569444444444444</v>
      </c>
      <c r="H31" s="318"/>
      <c r="I31" s="318"/>
      <c r="J31" s="319"/>
      <c r="K31" s="318"/>
      <c r="L31" s="320"/>
      <c r="M31" s="320"/>
      <c r="N31" s="320"/>
      <c r="O31" s="321"/>
      <c r="P31" s="320"/>
      <c r="Q31" s="321"/>
      <c r="R31" s="320"/>
      <c r="S31" s="321"/>
      <c r="T31" s="320"/>
      <c r="U31" s="321"/>
      <c r="V31" s="320"/>
      <c r="W31" s="321"/>
      <c r="X31" s="320"/>
      <c r="Y31" s="298">
        <v>0.33333333333333331</v>
      </c>
      <c r="Z31" s="298">
        <v>0.70833333333333337</v>
      </c>
      <c r="AA31" s="293"/>
    </row>
    <row r="32" spans="1:27" s="276" customFormat="1" ht="21.75" customHeight="1" x14ac:dyDescent="0.2">
      <c r="A32" s="294" t="s">
        <v>218</v>
      </c>
      <c r="B32" s="286">
        <v>0.74861111111111101</v>
      </c>
      <c r="C32" s="286">
        <v>0.97916666666666663</v>
      </c>
      <c r="D32" s="286">
        <v>0.74861111111111101</v>
      </c>
      <c r="E32" s="286">
        <v>0.97916666666666663</v>
      </c>
      <c r="F32" s="307">
        <v>0.79236111111111107</v>
      </c>
      <c r="G32" s="307">
        <v>0.97916666666666663</v>
      </c>
      <c r="H32" s="322"/>
      <c r="I32" s="322"/>
      <c r="J32" s="323"/>
      <c r="K32" s="322"/>
      <c r="L32" s="324">
        <v>1</v>
      </c>
      <c r="M32" s="324"/>
      <c r="N32" s="324"/>
      <c r="O32" s="325"/>
      <c r="P32" s="324"/>
      <c r="Q32" s="325"/>
      <c r="R32" s="324"/>
      <c r="S32" s="325">
        <v>1.5</v>
      </c>
      <c r="T32" s="324"/>
      <c r="U32" s="325"/>
      <c r="V32" s="324"/>
      <c r="W32" s="325"/>
      <c r="X32" s="324"/>
      <c r="Y32" s="299">
        <v>0.33333333333333331</v>
      </c>
      <c r="Z32" s="299">
        <v>0.70833333333333337</v>
      </c>
      <c r="AA32" s="294"/>
    </row>
    <row r="33" spans="1:27" s="276" customFormat="1" ht="21.75" customHeight="1" x14ac:dyDescent="0.2">
      <c r="A33" s="293" t="s">
        <v>219</v>
      </c>
      <c r="B33" s="300"/>
      <c r="C33" s="300"/>
      <c r="D33" s="301"/>
      <c r="E33" s="301"/>
      <c r="F33" s="365" t="s">
        <v>173</v>
      </c>
      <c r="G33" s="365"/>
      <c r="H33" s="318"/>
      <c r="I33" s="318"/>
      <c r="J33" s="319"/>
      <c r="K33" s="318"/>
      <c r="L33" s="320"/>
      <c r="M33" s="320"/>
      <c r="N33" s="320"/>
      <c r="O33" s="321"/>
      <c r="P33" s="320"/>
      <c r="Q33" s="321"/>
      <c r="R33" s="320"/>
      <c r="S33" s="321"/>
      <c r="T33" s="320"/>
      <c r="U33" s="321"/>
      <c r="V33" s="320"/>
      <c r="W33" s="321"/>
      <c r="X33" s="320"/>
      <c r="Y33" s="302"/>
      <c r="Z33" s="302"/>
      <c r="AA33" s="293"/>
    </row>
    <row r="34" spans="1:27" s="276" customFormat="1" ht="21.75" customHeight="1" x14ac:dyDescent="0.2">
      <c r="A34" s="294" t="s">
        <v>220</v>
      </c>
      <c r="B34" s="289"/>
      <c r="C34" s="289"/>
      <c r="D34" s="290"/>
      <c r="E34" s="290"/>
      <c r="F34" s="366" t="s">
        <v>173</v>
      </c>
      <c r="G34" s="366"/>
      <c r="H34" s="322"/>
      <c r="I34" s="322"/>
      <c r="J34" s="323"/>
      <c r="K34" s="322"/>
      <c r="L34" s="324"/>
      <c r="M34" s="324"/>
      <c r="N34" s="324"/>
      <c r="O34" s="325"/>
      <c r="P34" s="324"/>
      <c r="Q34" s="325"/>
      <c r="R34" s="324"/>
      <c r="S34" s="325"/>
      <c r="T34" s="324"/>
      <c r="U34" s="325"/>
      <c r="V34" s="324"/>
      <c r="W34" s="325"/>
      <c r="X34" s="324"/>
      <c r="Y34" s="303"/>
      <c r="Z34" s="303"/>
      <c r="AA34" s="294"/>
    </row>
    <row r="35" spans="1:27" s="276" customFormat="1" ht="21.75" customHeight="1" x14ac:dyDescent="0.2">
      <c r="A35" s="293" t="s">
        <v>222</v>
      </c>
      <c r="B35" s="287">
        <v>0.3659722222222222</v>
      </c>
      <c r="C35" s="287">
        <v>0.59652777777777777</v>
      </c>
      <c r="D35" s="287">
        <v>0.3659722222222222</v>
      </c>
      <c r="E35" s="287">
        <v>0.59652777777777777</v>
      </c>
      <c r="F35" s="288">
        <v>0.375</v>
      </c>
      <c r="G35" s="288">
        <v>0.59652777777777777</v>
      </c>
      <c r="H35" s="318"/>
      <c r="I35" s="318"/>
      <c r="J35" s="319"/>
      <c r="K35" s="318"/>
      <c r="L35" s="320"/>
      <c r="M35" s="320"/>
      <c r="N35" s="320"/>
      <c r="O35" s="321"/>
      <c r="P35" s="320"/>
      <c r="Q35" s="321"/>
      <c r="R35" s="320"/>
      <c r="S35" s="321"/>
      <c r="T35" s="320"/>
      <c r="U35" s="321"/>
      <c r="V35" s="320"/>
      <c r="W35" s="321"/>
      <c r="X35" s="320"/>
      <c r="Y35" s="298">
        <v>0.33333333333333331</v>
      </c>
      <c r="Z35" s="298">
        <v>0.70833333333333337</v>
      </c>
      <c r="AA35" s="293"/>
    </row>
    <row r="36" spans="1:27" s="276" customFormat="1" ht="21.75" customHeight="1" x14ac:dyDescent="0.2">
      <c r="A36" s="294" t="s">
        <v>222</v>
      </c>
      <c r="B36" s="286">
        <v>0.62638888888888888</v>
      </c>
      <c r="C36" s="286">
        <v>0.75555555555555554</v>
      </c>
      <c r="D36" s="286">
        <v>0.62638888888888888</v>
      </c>
      <c r="E36" s="286">
        <v>0.75555555555555554</v>
      </c>
      <c r="F36" s="307">
        <v>0.6381944444444444</v>
      </c>
      <c r="G36" s="307">
        <v>0.75</v>
      </c>
      <c r="H36" s="322"/>
      <c r="I36" s="322"/>
      <c r="J36" s="323"/>
      <c r="K36" s="322"/>
      <c r="L36" s="324">
        <v>1</v>
      </c>
      <c r="M36" s="324"/>
      <c r="N36" s="324"/>
      <c r="O36" s="325"/>
      <c r="P36" s="324"/>
      <c r="Q36" s="325"/>
      <c r="R36" s="324"/>
      <c r="S36" s="325"/>
      <c r="T36" s="324"/>
      <c r="U36" s="325"/>
      <c r="V36" s="324"/>
      <c r="W36" s="325"/>
      <c r="X36" s="324"/>
      <c r="Y36" s="299">
        <v>0.33333333333333331</v>
      </c>
      <c r="Z36" s="299">
        <v>0.70833333333333337</v>
      </c>
      <c r="AA36" s="294"/>
    </row>
    <row r="37" spans="1:27" s="276" customFormat="1" ht="21.75" customHeight="1" x14ac:dyDescent="0.2">
      <c r="A37" s="293" t="s">
        <v>223</v>
      </c>
      <c r="B37" s="300"/>
      <c r="C37" s="300"/>
      <c r="D37" s="301"/>
      <c r="E37" s="301"/>
      <c r="F37" s="365" t="s">
        <v>224</v>
      </c>
      <c r="G37" s="365"/>
      <c r="H37" s="318"/>
      <c r="I37" s="318"/>
      <c r="J37" s="319"/>
      <c r="K37" s="318"/>
      <c r="L37" s="320"/>
      <c r="M37" s="320"/>
      <c r="N37" s="320"/>
      <c r="O37" s="321"/>
      <c r="P37" s="320"/>
      <c r="Q37" s="321"/>
      <c r="R37" s="320"/>
      <c r="S37" s="321"/>
      <c r="T37" s="320"/>
      <c r="U37" s="321"/>
      <c r="V37" s="320"/>
      <c r="W37" s="321"/>
      <c r="X37" s="320"/>
      <c r="Y37" s="302"/>
      <c r="Z37" s="302"/>
      <c r="AA37" s="293"/>
    </row>
    <row r="38" spans="1:27" s="276" customFormat="1" ht="21.75" customHeight="1" x14ac:dyDescent="0.2">
      <c r="A38" s="294" t="s">
        <v>225</v>
      </c>
      <c r="B38" s="289"/>
      <c r="C38" s="289"/>
      <c r="D38" s="290"/>
      <c r="E38" s="290"/>
      <c r="F38" s="366" t="s">
        <v>224</v>
      </c>
      <c r="G38" s="366"/>
      <c r="H38" s="322"/>
      <c r="I38" s="322"/>
      <c r="J38" s="323"/>
      <c r="K38" s="322"/>
      <c r="L38" s="324"/>
      <c r="M38" s="324"/>
      <c r="N38" s="324"/>
      <c r="O38" s="325"/>
      <c r="P38" s="324"/>
      <c r="Q38" s="325"/>
      <c r="R38" s="324"/>
      <c r="S38" s="325"/>
      <c r="T38" s="324"/>
      <c r="U38" s="325"/>
      <c r="V38" s="324"/>
      <c r="W38" s="325"/>
      <c r="X38" s="324"/>
      <c r="Y38" s="303"/>
      <c r="Z38" s="303"/>
      <c r="AA38" s="294"/>
    </row>
    <row r="39" spans="1:27" s="276" customFormat="1" ht="21.75" customHeight="1" x14ac:dyDescent="0.2">
      <c r="A39" s="294" t="s">
        <v>226</v>
      </c>
      <c r="B39" s="286">
        <v>0.35833333333333334</v>
      </c>
      <c r="C39" s="286">
        <v>0.58680555555555558</v>
      </c>
      <c r="D39" s="286">
        <v>0.35833333333333334</v>
      </c>
      <c r="E39" s="286">
        <v>0.58680555555555558</v>
      </c>
      <c r="F39" s="307">
        <v>0.375</v>
      </c>
      <c r="G39" s="307">
        <v>0.58680555555555558</v>
      </c>
      <c r="H39" s="322"/>
      <c r="I39" s="322"/>
      <c r="J39" s="323"/>
      <c r="K39" s="322"/>
      <c r="L39" s="324"/>
      <c r="M39" s="324"/>
      <c r="N39" s="324"/>
      <c r="O39" s="325"/>
      <c r="P39" s="324"/>
      <c r="Q39" s="325"/>
      <c r="R39" s="324"/>
      <c r="S39" s="325"/>
      <c r="T39" s="324"/>
      <c r="U39" s="325"/>
      <c r="V39" s="324"/>
      <c r="W39" s="325"/>
      <c r="X39" s="324"/>
      <c r="Y39" s="299">
        <v>0.33333333333333331</v>
      </c>
      <c r="Z39" s="299">
        <v>0.70833333333333337</v>
      </c>
      <c r="AA39" s="294"/>
    </row>
    <row r="40" spans="1:27" s="276" customFormat="1" ht="21.75" customHeight="1" x14ac:dyDescent="0.2">
      <c r="A40" s="293" t="s">
        <v>226</v>
      </c>
      <c r="B40" s="287">
        <v>0.62430555555555556</v>
      </c>
      <c r="C40" s="287">
        <v>0.75763888888888886</v>
      </c>
      <c r="D40" s="287">
        <v>0.62430555555555556</v>
      </c>
      <c r="E40" s="287">
        <v>0.75763888888888886</v>
      </c>
      <c r="F40" s="288">
        <v>0.62847222222222221</v>
      </c>
      <c r="G40" s="288">
        <v>0.75</v>
      </c>
      <c r="H40" s="318"/>
      <c r="I40" s="318"/>
      <c r="J40" s="319"/>
      <c r="K40" s="318"/>
      <c r="L40" s="320">
        <v>1</v>
      </c>
      <c r="M40" s="320"/>
      <c r="N40" s="320"/>
      <c r="O40" s="321"/>
      <c r="P40" s="320"/>
      <c r="Q40" s="321"/>
      <c r="R40" s="320"/>
      <c r="S40" s="321"/>
      <c r="T40" s="320"/>
      <c r="U40" s="321"/>
      <c r="V40" s="320"/>
      <c r="W40" s="321"/>
      <c r="X40" s="320"/>
      <c r="Y40" s="298">
        <v>0.33333333333333331</v>
      </c>
      <c r="Z40" s="298">
        <v>0.70833333333333337</v>
      </c>
      <c r="AA40" s="293"/>
    </row>
    <row r="41" spans="1:27" s="276" customFormat="1" ht="21.75" customHeight="1" x14ac:dyDescent="0.2">
      <c r="A41" s="294" t="s">
        <v>228</v>
      </c>
      <c r="B41" s="286">
        <v>0.35069444444444442</v>
      </c>
      <c r="C41" s="286">
        <v>0.5854166666666667</v>
      </c>
      <c r="D41" s="286">
        <v>0.35069444444444442</v>
      </c>
      <c r="E41" s="286">
        <v>0.5854166666666667</v>
      </c>
      <c r="F41" s="307">
        <v>0.375</v>
      </c>
      <c r="G41" s="307">
        <v>0.5854166666666667</v>
      </c>
      <c r="H41" s="322"/>
      <c r="I41" s="322"/>
      <c r="J41" s="323"/>
      <c r="K41" s="322"/>
      <c r="L41" s="324"/>
      <c r="M41" s="324"/>
      <c r="N41" s="324"/>
      <c r="O41" s="325"/>
      <c r="P41" s="324"/>
      <c r="Q41" s="325"/>
      <c r="R41" s="324"/>
      <c r="S41" s="325"/>
      <c r="T41" s="324"/>
      <c r="U41" s="325"/>
      <c r="V41" s="324"/>
      <c r="W41" s="325"/>
      <c r="X41" s="324"/>
      <c r="Y41" s="299">
        <v>0.33333333333333331</v>
      </c>
      <c r="Z41" s="299">
        <v>0.70833333333333337</v>
      </c>
      <c r="AA41" s="294"/>
    </row>
    <row r="42" spans="1:27" s="276" customFormat="1" ht="21.75" customHeight="1" x14ac:dyDescent="0.2">
      <c r="A42" s="293" t="s">
        <v>228</v>
      </c>
      <c r="B42" s="287">
        <v>0.62430555555555556</v>
      </c>
      <c r="C42" s="287">
        <v>0.75347222222222221</v>
      </c>
      <c r="D42" s="287">
        <v>0.62430555555555556</v>
      </c>
      <c r="E42" s="287">
        <v>0.75347222222222221</v>
      </c>
      <c r="F42" s="288">
        <v>0.62708333333333333</v>
      </c>
      <c r="G42" s="288">
        <v>0.75</v>
      </c>
      <c r="H42" s="318"/>
      <c r="I42" s="318"/>
      <c r="J42" s="319"/>
      <c r="K42" s="318"/>
      <c r="L42" s="320">
        <v>1</v>
      </c>
      <c r="M42" s="320"/>
      <c r="N42" s="320"/>
      <c r="O42" s="321"/>
      <c r="P42" s="320"/>
      <c r="Q42" s="321"/>
      <c r="R42" s="320"/>
      <c r="S42" s="321"/>
      <c r="T42" s="320"/>
      <c r="U42" s="321"/>
      <c r="V42" s="320"/>
      <c r="W42" s="321"/>
      <c r="X42" s="320"/>
      <c r="Y42" s="298">
        <v>0.33333333333333331</v>
      </c>
      <c r="Z42" s="298">
        <v>0.70833333333333337</v>
      </c>
      <c r="AA42" s="293"/>
    </row>
    <row r="43" spans="1:27" s="276" customFormat="1" ht="21.75" customHeight="1" x14ac:dyDescent="0.2">
      <c r="A43" s="293" t="s">
        <v>229</v>
      </c>
      <c r="B43" s="300"/>
      <c r="C43" s="300"/>
      <c r="D43" s="301"/>
      <c r="E43" s="301"/>
      <c r="F43" s="365" t="s">
        <v>173</v>
      </c>
      <c r="G43" s="365"/>
      <c r="H43" s="318"/>
      <c r="I43" s="318"/>
      <c r="J43" s="319"/>
      <c r="K43" s="318"/>
      <c r="L43" s="320"/>
      <c r="M43" s="320"/>
      <c r="N43" s="320"/>
      <c r="O43" s="321"/>
      <c r="P43" s="320"/>
      <c r="Q43" s="321"/>
      <c r="R43" s="320"/>
      <c r="S43" s="321"/>
      <c r="T43" s="320"/>
      <c r="U43" s="321"/>
      <c r="V43" s="320"/>
      <c r="W43" s="321"/>
      <c r="X43" s="320"/>
      <c r="Y43" s="302"/>
      <c r="Z43" s="302"/>
      <c r="AA43" s="293"/>
    </row>
    <row r="44" spans="1:27" s="276" customFormat="1" ht="21.75" customHeight="1" x14ac:dyDescent="0.2">
      <c r="A44" s="294" t="s">
        <v>231</v>
      </c>
      <c r="B44" s="289"/>
      <c r="C44" s="289"/>
      <c r="D44" s="290"/>
      <c r="E44" s="290"/>
      <c r="F44" s="366" t="s">
        <v>173</v>
      </c>
      <c r="G44" s="366"/>
      <c r="H44" s="322"/>
      <c r="I44" s="322"/>
      <c r="J44" s="323"/>
      <c r="K44" s="322"/>
      <c r="L44" s="324"/>
      <c r="M44" s="324"/>
      <c r="N44" s="324"/>
      <c r="O44" s="325"/>
      <c r="P44" s="324"/>
      <c r="Q44" s="325"/>
      <c r="R44" s="324"/>
      <c r="S44" s="325"/>
      <c r="T44" s="324"/>
      <c r="U44" s="325"/>
      <c r="V44" s="324"/>
      <c r="W44" s="325"/>
      <c r="X44" s="324"/>
      <c r="Y44" s="303"/>
      <c r="Z44" s="303"/>
      <c r="AA44" s="294"/>
    </row>
    <row r="45" spans="1:27" s="276" customFormat="1" ht="21.75" customHeight="1" x14ac:dyDescent="0.2">
      <c r="A45" s="294" t="s">
        <v>232</v>
      </c>
      <c r="B45" s="286">
        <v>0.48680555555555555</v>
      </c>
      <c r="C45" s="286">
        <v>0.62638888888888888</v>
      </c>
      <c r="D45" s="286">
        <v>0.48680555555555555</v>
      </c>
      <c r="E45" s="286">
        <v>0.62638888888888888</v>
      </c>
      <c r="F45" s="307">
        <v>0.47916666666666669</v>
      </c>
      <c r="G45" s="307">
        <v>0.62638888888888888</v>
      </c>
      <c r="H45" s="322"/>
      <c r="I45" s="322"/>
      <c r="J45" s="323"/>
      <c r="K45" s="322"/>
      <c r="L45" s="324"/>
      <c r="M45" s="324"/>
      <c r="N45" s="324"/>
      <c r="O45" s="325"/>
      <c r="P45" s="324"/>
      <c r="Q45" s="325"/>
      <c r="R45" s="324"/>
      <c r="S45" s="325"/>
      <c r="T45" s="324"/>
      <c r="U45" s="325"/>
      <c r="V45" s="324"/>
      <c r="W45" s="325"/>
      <c r="X45" s="324"/>
      <c r="Y45" s="299">
        <v>0.33333333333333331</v>
      </c>
      <c r="Z45" s="299">
        <v>0.70833333333333337</v>
      </c>
      <c r="AA45" s="294" t="s">
        <v>210</v>
      </c>
    </row>
    <row r="46" spans="1:27" s="276" customFormat="1" ht="21.75" customHeight="1" x14ac:dyDescent="0.2">
      <c r="A46" s="293" t="s">
        <v>232</v>
      </c>
      <c r="B46" s="287">
        <v>0.75</v>
      </c>
      <c r="C46" s="287">
        <v>0.97916666666666663</v>
      </c>
      <c r="D46" s="287">
        <v>0.75</v>
      </c>
      <c r="E46" s="287">
        <v>0.97916666666666663</v>
      </c>
      <c r="F46" s="288">
        <v>0.79305555555555562</v>
      </c>
      <c r="G46" s="288">
        <v>0.97916666666666663</v>
      </c>
      <c r="H46" s="318"/>
      <c r="I46" s="318"/>
      <c r="J46" s="319"/>
      <c r="K46" s="318"/>
      <c r="L46" s="320">
        <v>1</v>
      </c>
      <c r="M46" s="320">
        <f>11/60</f>
        <v>0.18333333333333332</v>
      </c>
      <c r="N46" s="320"/>
      <c r="O46" s="321"/>
      <c r="P46" s="320"/>
      <c r="Q46" s="321"/>
      <c r="R46" s="320"/>
      <c r="S46" s="321">
        <v>1.5</v>
      </c>
      <c r="T46" s="320"/>
      <c r="U46" s="321"/>
      <c r="V46" s="320"/>
      <c r="W46" s="321"/>
      <c r="X46" s="320"/>
      <c r="Y46" s="298">
        <v>0.33333333333333331</v>
      </c>
      <c r="Z46" s="298">
        <v>0.70833333333333337</v>
      </c>
      <c r="AA46" s="293"/>
    </row>
    <row r="47" spans="1:27" s="276" customFormat="1" ht="21.75" customHeight="1" x14ac:dyDescent="0.2">
      <c r="A47" s="293" t="s">
        <v>233</v>
      </c>
      <c r="B47" s="287">
        <v>0.4680555555555555</v>
      </c>
      <c r="C47" s="287">
        <v>0.63055555555555554</v>
      </c>
      <c r="D47" s="287">
        <v>0.4680555555555555</v>
      </c>
      <c r="E47" s="287">
        <v>0.63055555555555554</v>
      </c>
      <c r="F47" s="379" t="s">
        <v>238</v>
      </c>
      <c r="G47" s="379"/>
      <c r="H47" s="318"/>
      <c r="I47" s="318"/>
      <c r="J47" s="319"/>
      <c r="K47" s="318"/>
      <c r="L47" s="320">
        <v>1</v>
      </c>
      <c r="M47" s="320"/>
      <c r="N47" s="320"/>
      <c r="O47" s="321"/>
      <c r="P47" s="320"/>
      <c r="Q47" s="321"/>
      <c r="R47" s="320"/>
      <c r="S47" s="321">
        <v>1.5</v>
      </c>
      <c r="T47" s="320"/>
      <c r="U47" s="321"/>
      <c r="V47" s="320"/>
      <c r="W47" s="321"/>
      <c r="X47" s="320"/>
      <c r="Y47" s="298">
        <v>0.33333333333333331</v>
      </c>
      <c r="Z47" s="298">
        <v>0.70833333333333337</v>
      </c>
      <c r="AA47" s="293"/>
    </row>
    <row r="48" spans="1:27" s="276" customFormat="1" ht="21.75" customHeight="1" x14ac:dyDescent="0.2">
      <c r="A48" s="294" t="s">
        <v>234</v>
      </c>
      <c r="B48" s="289"/>
      <c r="C48" s="289"/>
      <c r="D48" s="290"/>
      <c r="E48" s="290"/>
      <c r="F48" s="366" t="s">
        <v>239</v>
      </c>
      <c r="G48" s="366"/>
      <c r="H48" s="322"/>
      <c r="I48" s="322"/>
      <c r="J48" s="323"/>
      <c r="K48" s="322"/>
      <c r="L48" s="324">
        <v>1</v>
      </c>
      <c r="M48" s="324"/>
      <c r="N48" s="324"/>
      <c r="O48" s="325"/>
      <c r="P48" s="324"/>
      <c r="Q48" s="325"/>
      <c r="R48" s="324"/>
      <c r="S48" s="325">
        <v>1.5</v>
      </c>
      <c r="T48" s="324"/>
      <c r="U48" s="325"/>
      <c r="V48" s="324"/>
      <c r="W48" s="325"/>
      <c r="X48" s="324"/>
      <c r="Y48" s="303"/>
      <c r="Z48" s="303"/>
      <c r="AA48" s="294"/>
    </row>
    <row r="49" spans="1:27" s="276" customFormat="1" ht="21.75" customHeight="1" x14ac:dyDescent="0.2">
      <c r="A49" s="293" t="s">
        <v>236</v>
      </c>
      <c r="B49" s="300"/>
      <c r="C49" s="300"/>
      <c r="D49" s="301"/>
      <c r="E49" s="301"/>
      <c r="F49" s="365" t="s">
        <v>239</v>
      </c>
      <c r="G49" s="365"/>
      <c r="H49" s="318"/>
      <c r="I49" s="318"/>
      <c r="J49" s="319"/>
      <c r="K49" s="318"/>
      <c r="L49" s="320">
        <v>1</v>
      </c>
      <c r="M49" s="320"/>
      <c r="N49" s="320"/>
      <c r="O49" s="321"/>
      <c r="P49" s="320"/>
      <c r="Q49" s="321"/>
      <c r="R49" s="320"/>
      <c r="S49" s="321">
        <v>1.5</v>
      </c>
      <c r="T49" s="320"/>
      <c r="U49" s="321"/>
      <c r="V49" s="320"/>
      <c r="W49" s="321"/>
      <c r="X49" s="320"/>
      <c r="Y49" s="302"/>
      <c r="Z49" s="302"/>
      <c r="AA49" s="293"/>
    </row>
    <row r="50" spans="1:27" s="276" customFormat="1" ht="21.75" customHeight="1" x14ac:dyDescent="0.2">
      <c r="A50" s="294" t="s">
        <v>237</v>
      </c>
      <c r="B50" s="289"/>
      <c r="C50" s="289"/>
      <c r="D50" s="290"/>
      <c r="E50" s="290"/>
      <c r="F50" s="366" t="s">
        <v>239</v>
      </c>
      <c r="G50" s="366"/>
      <c r="H50" s="322"/>
      <c r="I50" s="322"/>
      <c r="J50" s="323"/>
      <c r="K50" s="322"/>
      <c r="L50" s="324">
        <v>1</v>
      </c>
      <c r="M50" s="324"/>
      <c r="N50" s="324"/>
      <c r="O50" s="325"/>
      <c r="P50" s="324"/>
      <c r="Q50" s="325"/>
      <c r="R50" s="324"/>
      <c r="S50" s="325">
        <v>1.5</v>
      </c>
      <c r="T50" s="324"/>
      <c r="U50" s="325"/>
      <c r="V50" s="324"/>
      <c r="W50" s="325"/>
      <c r="X50" s="324"/>
      <c r="Y50" s="303"/>
      <c r="Z50" s="303"/>
      <c r="AA50" s="294"/>
    </row>
    <row r="51" spans="1:27" s="276" customFormat="1" ht="21.75" customHeight="1" x14ac:dyDescent="0.2">
      <c r="A51" s="281" t="s">
        <v>3</v>
      </c>
      <c r="B51" s="281"/>
      <c r="C51" s="281"/>
      <c r="D51" s="281"/>
      <c r="E51" s="281"/>
      <c r="F51" s="281"/>
      <c r="G51" s="281"/>
      <c r="H51" s="326">
        <f>SUM(H28:H50)</f>
        <v>0</v>
      </c>
      <c r="I51" s="326">
        <f t="shared" ref="I51:X51" si="1">SUM(I28:I50)</f>
        <v>0</v>
      </c>
      <c r="J51" s="326">
        <f t="shared" si="1"/>
        <v>0</v>
      </c>
      <c r="K51" s="326">
        <f t="shared" si="1"/>
        <v>0</v>
      </c>
      <c r="L51" s="326">
        <f t="shared" si="1"/>
        <v>10</v>
      </c>
      <c r="M51" s="326">
        <f t="shared" si="1"/>
        <v>0.18333333333333332</v>
      </c>
      <c r="N51" s="326">
        <f t="shared" si="1"/>
        <v>0</v>
      </c>
      <c r="O51" s="326">
        <f t="shared" si="1"/>
        <v>0</v>
      </c>
      <c r="P51" s="326">
        <f t="shared" si="1"/>
        <v>0</v>
      </c>
      <c r="Q51" s="326">
        <f t="shared" si="1"/>
        <v>0</v>
      </c>
      <c r="R51" s="326">
        <f t="shared" si="1"/>
        <v>0</v>
      </c>
      <c r="S51" s="326">
        <f t="shared" si="1"/>
        <v>10.5</v>
      </c>
      <c r="T51" s="326">
        <f t="shared" si="1"/>
        <v>0</v>
      </c>
      <c r="U51" s="326">
        <f t="shared" si="1"/>
        <v>0</v>
      </c>
      <c r="V51" s="326">
        <f t="shared" si="1"/>
        <v>0</v>
      </c>
      <c r="W51" s="326">
        <f t="shared" si="1"/>
        <v>0</v>
      </c>
      <c r="X51" s="326">
        <f t="shared" si="1"/>
        <v>0</v>
      </c>
      <c r="Y51" s="296"/>
      <c r="Z51" s="296"/>
      <c r="AA51" s="281"/>
    </row>
    <row r="52" spans="1:27" s="276" customFormat="1" ht="21.75" customHeight="1" thickBot="1" x14ac:dyDescent="0.25">
      <c r="H52" s="327"/>
      <c r="I52" s="327"/>
      <c r="J52" s="327"/>
      <c r="K52" s="327"/>
      <c r="L52" s="328"/>
      <c r="M52" s="328"/>
      <c r="N52" s="328"/>
      <c r="O52" s="328"/>
      <c r="P52" s="328"/>
      <c r="Q52" s="328"/>
      <c r="R52" s="328"/>
      <c r="S52" s="328"/>
      <c r="T52" s="328"/>
      <c r="U52" s="328"/>
      <c r="V52" s="328"/>
      <c r="W52" s="328"/>
      <c r="X52" s="328"/>
      <c r="Y52" s="304"/>
      <c r="Z52" s="304"/>
    </row>
    <row r="53" spans="1:27" s="276" customFormat="1" ht="21.75" customHeight="1" thickBot="1" x14ac:dyDescent="0.25">
      <c r="A53" s="297" t="s">
        <v>169</v>
      </c>
      <c r="B53" s="285" t="s">
        <v>178</v>
      </c>
      <c r="C53" s="285"/>
      <c r="D53" s="285"/>
      <c r="E53" s="285"/>
      <c r="F53" s="285"/>
      <c r="G53" s="285"/>
      <c r="H53" s="369" t="s">
        <v>91</v>
      </c>
      <c r="I53" s="370"/>
      <c r="J53" s="370"/>
      <c r="K53" s="371"/>
      <c r="L53" s="372" t="s">
        <v>90</v>
      </c>
      <c r="M53" s="374" t="s">
        <v>157</v>
      </c>
      <c r="N53" s="374" t="s">
        <v>158</v>
      </c>
      <c r="O53" s="376" t="s">
        <v>159</v>
      </c>
      <c r="P53" s="377"/>
      <c r="Q53" s="378"/>
      <c r="R53" s="374" t="s">
        <v>160</v>
      </c>
      <c r="S53" s="376" t="s">
        <v>19</v>
      </c>
      <c r="T53" s="377"/>
      <c r="U53" s="378"/>
      <c r="V53" s="374" t="s">
        <v>124</v>
      </c>
      <c r="W53" s="374" t="s">
        <v>125</v>
      </c>
      <c r="X53" s="363" t="s">
        <v>105</v>
      </c>
      <c r="Y53" s="296" t="s">
        <v>161</v>
      </c>
      <c r="Z53" s="296"/>
      <c r="AA53" s="281" t="s">
        <v>162</v>
      </c>
    </row>
    <row r="54" spans="1:27" s="276" customFormat="1" ht="21.75" customHeight="1" thickBot="1" x14ac:dyDescent="0.25">
      <c r="A54" s="297" t="s">
        <v>171</v>
      </c>
      <c r="B54" s="285" t="s">
        <v>179</v>
      </c>
      <c r="C54" s="285"/>
      <c r="D54" s="285"/>
      <c r="E54" s="285"/>
      <c r="F54" s="285"/>
      <c r="G54" s="285"/>
      <c r="H54" s="282" t="s">
        <v>165</v>
      </c>
      <c r="I54" s="282" t="s">
        <v>93</v>
      </c>
      <c r="J54" s="282" t="s">
        <v>94</v>
      </c>
      <c r="K54" s="283" t="s">
        <v>166</v>
      </c>
      <c r="L54" s="373"/>
      <c r="M54" s="375"/>
      <c r="N54" s="375"/>
      <c r="O54" s="284" t="s">
        <v>167</v>
      </c>
      <c r="P54" s="284" t="s">
        <v>168</v>
      </c>
      <c r="Q54" s="315" t="s">
        <v>125</v>
      </c>
      <c r="R54" s="375"/>
      <c r="S54" s="284" t="s">
        <v>167</v>
      </c>
      <c r="T54" s="284" t="s">
        <v>168</v>
      </c>
      <c r="U54" s="315" t="s">
        <v>125</v>
      </c>
      <c r="V54" s="375"/>
      <c r="W54" s="375"/>
      <c r="X54" s="364"/>
      <c r="Y54" s="296" t="s">
        <v>163</v>
      </c>
      <c r="Z54" s="296" t="s">
        <v>164</v>
      </c>
      <c r="AA54" s="281"/>
    </row>
    <row r="55" spans="1:27" s="276" customFormat="1" ht="21.75" customHeight="1" x14ac:dyDescent="0.2">
      <c r="A55" s="293" t="s">
        <v>216</v>
      </c>
      <c r="B55" s="287">
        <v>0.45069444444444445</v>
      </c>
      <c r="C55" s="287">
        <v>0.875</v>
      </c>
      <c r="D55" s="287">
        <v>0.45069444444444445</v>
      </c>
      <c r="E55" s="287">
        <v>0.875</v>
      </c>
      <c r="F55" s="288">
        <v>0.45833333333333331</v>
      </c>
      <c r="G55" s="288">
        <v>0.83333333333333337</v>
      </c>
      <c r="H55" s="318"/>
      <c r="I55" s="318"/>
      <c r="J55" s="319"/>
      <c r="K55" s="318"/>
      <c r="L55" s="320">
        <v>1</v>
      </c>
      <c r="M55" s="320"/>
      <c r="N55" s="320"/>
      <c r="O55" s="321"/>
      <c r="P55" s="320"/>
      <c r="Q55" s="321"/>
      <c r="R55" s="320"/>
      <c r="S55" s="321"/>
      <c r="T55" s="320"/>
      <c r="U55" s="321"/>
      <c r="V55" s="320"/>
      <c r="W55" s="321"/>
      <c r="X55" s="320"/>
      <c r="Y55" s="298">
        <v>0.33333333333333331</v>
      </c>
      <c r="Z55" s="298">
        <v>0.75</v>
      </c>
      <c r="AA55" s="293" t="s">
        <v>180</v>
      </c>
    </row>
    <row r="56" spans="1:27" s="276" customFormat="1" ht="21.75" customHeight="1" x14ac:dyDescent="0.2">
      <c r="A56" s="294" t="s">
        <v>218</v>
      </c>
      <c r="B56" s="289"/>
      <c r="C56" s="289"/>
      <c r="D56" s="290"/>
      <c r="E56" s="290"/>
      <c r="F56" s="380" t="s">
        <v>177</v>
      </c>
      <c r="G56" s="366"/>
      <c r="H56" s="322"/>
      <c r="I56" s="322"/>
      <c r="J56" s="323"/>
      <c r="K56" s="322"/>
      <c r="L56" s="324">
        <v>1</v>
      </c>
      <c r="M56" s="324"/>
      <c r="N56" s="324"/>
      <c r="O56" s="325"/>
      <c r="P56" s="324"/>
      <c r="Q56" s="325" t="s">
        <v>240</v>
      </c>
      <c r="R56" s="324"/>
      <c r="S56" s="325"/>
      <c r="T56" s="324"/>
      <c r="U56" s="325"/>
      <c r="V56" s="324"/>
      <c r="W56" s="325"/>
      <c r="X56" s="324"/>
      <c r="Y56" s="303"/>
      <c r="Z56" s="303"/>
      <c r="AA56" s="294"/>
    </row>
    <row r="57" spans="1:27" s="276" customFormat="1" ht="21.75" customHeight="1" x14ac:dyDescent="0.2">
      <c r="A57" s="293" t="s">
        <v>219</v>
      </c>
      <c r="B57" s="300"/>
      <c r="C57" s="300"/>
      <c r="D57" s="301"/>
      <c r="E57" s="301"/>
      <c r="F57" s="365" t="s">
        <v>173</v>
      </c>
      <c r="G57" s="365"/>
      <c r="H57" s="318"/>
      <c r="I57" s="318"/>
      <c r="J57" s="319"/>
      <c r="K57" s="318"/>
      <c r="L57" s="320"/>
      <c r="M57" s="320"/>
      <c r="N57" s="320"/>
      <c r="O57" s="321"/>
      <c r="P57" s="320"/>
      <c r="Q57" s="321"/>
      <c r="R57" s="320"/>
      <c r="S57" s="321"/>
      <c r="T57" s="320"/>
      <c r="U57" s="321"/>
      <c r="V57" s="320"/>
      <c r="W57" s="321"/>
      <c r="X57" s="320"/>
      <c r="Y57" s="302"/>
      <c r="Z57" s="302"/>
      <c r="AA57" s="293"/>
    </row>
    <row r="58" spans="1:27" s="276" customFormat="1" ht="21.75" customHeight="1" x14ac:dyDescent="0.2">
      <c r="A58" s="294" t="s">
        <v>220</v>
      </c>
      <c r="B58" s="286">
        <v>0.34791666666666665</v>
      </c>
      <c r="C58" s="286">
        <v>0.58402777777777781</v>
      </c>
      <c r="D58" s="286">
        <v>0.34791666666666665</v>
      </c>
      <c r="E58" s="286">
        <v>0.58402777777777781</v>
      </c>
      <c r="F58" s="307">
        <v>0.35416666666666669</v>
      </c>
      <c r="G58" s="307">
        <v>0.72916666666666663</v>
      </c>
      <c r="H58" s="322"/>
      <c r="I58" s="322"/>
      <c r="J58" s="323"/>
      <c r="K58" s="322"/>
      <c r="L58" s="324">
        <v>1</v>
      </c>
      <c r="M58" s="324"/>
      <c r="N58" s="324"/>
      <c r="O58" s="325"/>
      <c r="P58" s="324"/>
      <c r="Q58" s="325"/>
      <c r="R58" s="324"/>
      <c r="S58" s="325"/>
      <c r="T58" s="324"/>
      <c r="U58" s="325"/>
      <c r="V58" s="324"/>
      <c r="W58" s="325"/>
      <c r="X58" s="324"/>
      <c r="Y58" s="299">
        <v>0.33333333333333331</v>
      </c>
      <c r="Z58" s="299">
        <v>0.75</v>
      </c>
      <c r="AA58" s="294" t="s">
        <v>241</v>
      </c>
    </row>
    <row r="59" spans="1:27" s="276" customFormat="1" ht="21.75" customHeight="1" x14ac:dyDescent="0.2">
      <c r="A59" s="293" t="s">
        <v>222</v>
      </c>
      <c r="B59" s="287">
        <v>0.33402777777777781</v>
      </c>
      <c r="C59" s="287">
        <v>0.83819444444444446</v>
      </c>
      <c r="D59" s="287">
        <v>0.33402777777777781</v>
      </c>
      <c r="E59" s="287">
        <v>0.83819444444444446</v>
      </c>
      <c r="F59" s="287">
        <v>0.33333333333333331</v>
      </c>
      <c r="G59" s="288">
        <v>0.70833333333333337</v>
      </c>
      <c r="H59" s="318"/>
      <c r="I59" s="318"/>
      <c r="J59" s="319"/>
      <c r="K59" s="318"/>
      <c r="L59" s="320">
        <v>1</v>
      </c>
      <c r="M59" s="320"/>
      <c r="N59" s="320"/>
      <c r="O59" s="321"/>
      <c r="P59" s="320"/>
      <c r="Q59" s="321"/>
      <c r="R59" s="320"/>
      <c r="S59" s="321"/>
      <c r="T59" s="320"/>
      <c r="U59" s="321"/>
      <c r="V59" s="320"/>
      <c r="W59" s="321"/>
      <c r="X59" s="320"/>
      <c r="Y59" s="298">
        <v>0.33333333333333331</v>
      </c>
      <c r="Z59" s="298">
        <v>0.75</v>
      </c>
      <c r="AA59" s="293" t="s">
        <v>242</v>
      </c>
    </row>
    <row r="60" spans="1:27" s="276" customFormat="1" ht="21.75" customHeight="1" x14ac:dyDescent="0.2">
      <c r="A60" s="294" t="s">
        <v>223</v>
      </c>
      <c r="B60" s="289"/>
      <c r="C60" s="289"/>
      <c r="D60" s="290"/>
      <c r="E60" s="290"/>
      <c r="F60" s="366" t="s">
        <v>224</v>
      </c>
      <c r="G60" s="366"/>
      <c r="H60" s="322"/>
      <c r="I60" s="322"/>
      <c r="J60" s="323"/>
      <c r="K60" s="322"/>
      <c r="L60" s="324"/>
      <c r="M60" s="324"/>
      <c r="N60" s="324"/>
      <c r="O60" s="325"/>
      <c r="P60" s="324"/>
      <c r="Q60" s="325"/>
      <c r="R60" s="324"/>
      <c r="S60" s="325"/>
      <c r="T60" s="324"/>
      <c r="U60" s="325"/>
      <c r="V60" s="324"/>
      <c r="W60" s="325"/>
      <c r="X60" s="324"/>
      <c r="Y60" s="303"/>
      <c r="Z60" s="303"/>
      <c r="AA60" s="294"/>
    </row>
    <row r="61" spans="1:27" s="276" customFormat="1" ht="21.75" customHeight="1" x14ac:dyDescent="0.2">
      <c r="A61" s="293" t="s">
        <v>225</v>
      </c>
      <c r="B61" s="300"/>
      <c r="C61" s="300"/>
      <c r="D61" s="301"/>
      <c r="E61" s="301"/>
      <c r="F61" s="365" t="s">
        <v>224</v>
      </c>
      <c r="G61" s="365"/>
      <c r="H61" s="318"/>
      <c r="I61" s="318"/>
      <c r="J61" s="319"/>
      <c r="K61" s="318"/>
      <c r="L61" s="320"/>
      <c r="M61" s="320"/>
      <c r="N61" s="320"/>
      <c r="O61" s="321"/>
      <c r="P61" s="320"/>
      <c r="Q61" s="321"/>
      <c r="R61" s="320"/>
      <c r="S61" s="321"/>
      <c r="T61" s="320"/>
      <c r="U61" s="321"/>
      <c r="V61" s="320"/>
      <c r="W61" s="321"/>
      <c r="X61" s="320"/>
      <c r="Y61" s="302"/>
      <c r="Z61" s="302"/>
      <c r="AA61" s="293"/>
    </row>
    <row r="62" spans="1:27" s="276" customFormat="1" ht="21.75" customHeight="1" x14ac:dyDescent="0.2">
      <c r="A62" s="294" t="s">
        <v>226</v>
      </c>
      <c r="B62" s="286">
        <v>0.47569444444444442</v>
      </c>
      <c r="C62" s="286">
        <v>0.97986111111111107</v>
      </c>
      <c r="D62" s="286">
        <v>0.47569444444444442</v>
      </c>
      <c r="E62" s="286">
        <v>0.97986111111111107</v>
      </c>
      <c r="F62" s="307">
        <v>0.47916666666666669</v>
      </c>
      <c r="G62" s="307">
        <v>0.85416666666666663</v>
      </c>
      <c r="H62" s="322"/>
      <c r="I62" s="322"/>
      <c r="J62" s="323"/>
      <c r="K62" s="322"/>
      <c r="L62" s="324">
        <v>1</v>
      </c>
      <c r="M62" s="324"/>
      <c r="N62" s="324"/>
      <c r="O62" s="325"/>
      <c r="P62" s="324"/>
      <c r="Q62" s="325"/>
      <c r="R62" s="324"/>
      <c r="S62" s="325">
        <v>1.5</v>
      </c>
      <c r="T62" s="324"/>
      <c r="U62" s="325"/>
      <c r="V62" s="324"/>
      <c r="W62" s="325"/>
      <c r="X62" s="324"/>
      <c r="Y62" s="299">
        <v>0.33333333333333331</v>
      </c>
      <c r="Z62" s="299">
        <v>0.75</v>
      </c>
      <c r="AA62" s="294" t="s">
        <v>243</v>
      </c>
    </row>
    <row r="63" spans="1:27" s="276" customFormat="1" ht="21.75" customHeight="1" x14ac:dyDescent="0.2">
      <c r="A63" s="293" t="s">
        <v>228</v>
      </c>
      <c r="B63" s="287">
        <v>0.58263888888888882</v>
      </c>
      <c r="C63" s="287">
        <v>0.95972222222222225</v>
      </c>
      <c r="D63" s="287">
        <v>0.58263888888888882</v>
      </c>
      <c r="E63" s="287">
        <v>0.95972222222222225</v>
      </c>
      <c r="F63" s="288">
        <v>0.58333333333333337</v>
      </c>
      <c r="G63" s="288">
        <v>0.95833333333333337</v>
      </c>
      <c r="H63" s="318"/>
      <c r="I63" s="318"/>
      <c r="J63" s="319"/>
      <c r="K63" s="318"/>
      <c r="L63" s="320">
        <v>1</v>
      </c>
      <c r="M63" s="320"/>
      <c r="N63" s="320"/>
      <c r="O63" s="321"/>
      <c r="P63" s="320"/>
      <c r="Q63" s="321"/>
      <c r="R63" s="320"/>
      <c r="S63" s="321">
        <v>1</v>
      </c>
      <c r="T63" s="320"/>
      <c r="U63" s="321"/>
      <c r="V63" s="320"/>
      <c r="W63" s="321"/>
      <c r="X63" s="320"/>
      <c r="Y63" s="298">
        <v>0.33333333333333331</v>
      </c>
      <c r="Z63" s="298">
        <v>0.75</v>
      </c>
      <c r="AA63" s="293" t="s">
        <v>209</v>
      </c>
    </row>
    <row r="64" spans="1:27" s="276" customFormat="1" ht="21.75" customHeight="1" x14ac:dyDescent="0.2">
      <c r="A64" s="294" t="s">
        <v>229</v>
      </c>
      <c r="B64" s="289"/>
      <c r="C64" s="289"/>
      <c r="D64" s="290"/>
      <c r="E64" s="290"/>
      <c r="F64" s="366" t="s">
        <v>174</v>
      </c>
      <c r="G64" s="366"/>
      <c r="H64" s="322"/>
      <c r="I64" s="322"/>
      <c r="J64" s="323"/>
      <c r="K64" s="322"/>
      <c r="L64" s="324">
        <v>1</v>
      </c>
      <c r="M64" s="324"/>
      <c r="N64" s="324"/>
      <c r="O64" s="325"/>
      <c r="P64" s="324"/>
      <c r="Q64" s="325"/>
      <c r="R64" s="324"/>
      <c r="S64" s="325"/>
      <c r="T64" s="324"/>
      <c r="U64" s="325"/>
      <c r="V64" s="324"/>
      <c r="W64" s="325"/>
      <c r="X64" s="324"/>
      <c r="Y64" s="303"/>
      <c r="Z64" s="303"/>
      <c r="AA64" s="294"/>
    </row>
    <row r="65" spans="1:27" s="276" customFormat="1" ht="21.75" customHeight="1" x14ac:dyDescent="0.2">
      <c r="A65" s="293" t="s">
        <v>231</v>
      </c>
      <c r="B65" s="300"/>
      <c r="C65" s="300"/>
      <c r="D65" s="301"/>
      <c r="E65" s="301"/>
      <c r="F65" s="365" t="s">
        <v>173</v>
      </c>
      <c r="G65" s="365"/>
      <c r="H65" s="318"/>
      <c r="I65" s="318"/>
      <c r="J65" s="319"/>
      <c r="K65" s="318"/>
      <c r="L65" s="320"/>
      <c r="M65" s="320"/>
      <c r="N65" s="320"/>
      <c r="O65" s="321"/>
      <c r="P65" s="320"/>
      <c r="Q65" s="321"/>
      <c r="R65" s="320"/>
      <c r="S65" s="321"/>
      <c r="T65" s="320"/>
      <c r="U65" s="321"/>
      <c r="V65" s="320"/>
      <c r="W65" s="321"/>
      <c r="X65" s="320"/>
      <c r="Y65" s="302"/>
      <c r="Z65" s="302"/>
      <c r="AA65" s="293"/>
    </row>
    <row r="66" spans="1:27" s="276" customFormat="1" ht="21.75" customHeight="1" x14ac:dyDescent="0.2">
      <c r="A66" s="294" t="s">
        <v>232</v>
      </c>
      <c r="B66" s="286">
        <v>0.37777777777777777</v>
      </c>
      <c r="C66" s="286">
        <v>0.79583333333333339</v>
      </c>
      <c r="D66" s="286">
        <v>0.37777777777777777</v>
      </c>
      <c r="E66" s="286">
        <v>0.79583333333333339</v>
      </c>
      <c r="F66" s="307">
        <v>0.375</v>
      </c>
      <c r="G66" s="286">
        <v>0.75</v>
      </c>
      <c r="H66" s="322"/>
      <c r="I66" s="322"/>
      <c r="J66" s="323"/>
      <c r="K66" s="322"/>
      <c r="L66" s="324">
        <v>1</v>
      </c>
      <c r="M66" s="324"/>
      <c r="N66" s="324"/>
      <c r="O66" s="325"/>
      <c r="P66" s="324"/>
      <c r="Q66" s="325"/>
      <c r="R66" s="324"/>
      <c r="S66" s="325"/>
      <c r="T66" s="324"/>
      <c r="U66" s="325"/>
      <c r="V66" s="324"/>
      <c r="W66" s="325"/>
      <c r="X66" s="324"/>
      <c r="Y66" s="299">
        <v>0.33333333333333331</v>
      </c>
      <c r="Z66" s="299">
        <v>0.75</v>
      </c>
      <c r="AA66" s="294" t="s">
        <v>180</v>
      </c>
    </row>
    <row r="67" spans="1:27" s="276" customFormat="1" ht="21.75" customHeight="1" x14ac:dyDescent="0.2">
      <c r="A67" s="293" t="s">
        <v>233</v>
      </c>
      <c r="B67" s="300"/>
      <c r="C67" s="300"/>
      <c r="D67" s="301"/>
      <c r="E67" s="301"/>
      <c r="F67" s="365" t="s">
        <v>165</v>
      </c>
      <c r="G67" s="365"/>
      <c r="H67" s="329">
        <v>1</v>
      </c>
      <c r="I67" s="318"/>
      <c r="J67" s="319"/>
      <c r="K67" s="318"/>
      <c r="L67" s="320"/>
      <c r="M67" s="320"/>
      <c r="N67" s="320"/>
      <c r="O67" s="321"/>
      <c r="P67" s="320"/>
      <c r="Q67" s="321"/>
      <c r="R67" s="320"/>
      <c r="S67" s="321"/>
      <c r="T67" s="320"/>
      <c r="U67" s="321"/>
      <c r="V67" s="320"/>
      <c r="W67" s="321"/>
      <c r="X67" s="320"/>
      <c r="Y67" s="302"/>
      <c r="Z67" s="302"/>
      <c r="AA67" s="293"/>
    </row>
    <row r="68" spans="1:27" s="276" customFormat="1" ht="21.75" customHeight="1" x14ac:dyDescent="0.2">
      <c r="A68" s="294" t="s">
        <v>234</v>
      </c>
      <c r="B68" s="289"/>
      <c r="C68" s="289"/>
      <c r="D68" s="290"/>
      <c r="E68" s="290"/>
      <c r="F68" s="366" t="s">
        <v>244</v>
      </c>
      <c r="G68" s="366"/>
      <c r="H68" s="322"/>
      <c r="I68" s="322"/>
      <c r="J68" s="323"/>
      <c r="K68" s="322"/>
      <c r="L68" s="324">
        <v>1</v>
      </c>
      <c r="M68" s="324"/>
      <c r="N68" s="324"/>
      <c r="O68" s="325"/>
      <c r="P68" s="324"/>
      <c r="Q68" s="325"/>
      <c r="R68" s="324"/>
      <c r="S68" s="325"/>
      <c r="T68" s="324"/>
      <c r="U68" s="325"/>
      <c r="V68" s="324"/>
      <c r="W68" s="325"/>
      <c r="X68" s="324"/>
      <c r="Y68" s="303"/>
      <c r="Z68" s="303"/>
      <c r="AA68" s="294"/>
    </row>
    <row r="69" spans="1:27" s="276" customFormat="1" ht="21.75" customHeight="1" x14ac:dyDescent="0.2">
      <c r="A69" s="293" t="s">
        <v>236</v>
      </c>
      <c r="B69" s="300"/>
      <c r="C69" s="300"/>
      <c r="D69" s="301"/>
      <c r="E69" s="301"/>
      <c r="F69" s="365" t="s">
        <v>244</v>
      </c>
      <c r="G69" s="365"/>
      <c r="H69" s="318"/>
      <c r="I69" s="318"/>
      <c r="J69" s="319"/>
      <c r="K69" s="318"/>
      <c r="L69" s="320">
        <v>1</v>
      </c>
      <c r="M69" s="320"/>
      <c r="N69" s="320"/>
      <c r="O69" s="321"/>
      <c r="P69" s="320"/>
      <c r="Q69" s="321"/>
      <c r="R69" s="320"/>
      <c r="S69" s="321"/>
      <c r="T69" s="320"/>
      <c r="U69" s="321"/>
      <c r="V69" s="320"/>
      <c r="W69" s="321"/>
      <c r="X69" s="320"/>
      <c r="Y69" s="302"/>
      <c r="Z69" s="302"/>
      <c r="AA69" s="293"/>
    </row>
    <row r="70" spans="1:27" s="276" customFormat="1" ht="21.75" customHeight="1" x14ac:dyDescent="0.2">
      <c r="A70" s="294" t="s">
        <v>237</v>
      </c>
      <c r="B70" s="289"/>
      <c r="C70" s="289"/>
      <c r="D70" s="290"/>
      <c r="E70" s="290"/>
      <c r="F70" s="366" t="s">
        <v>244</v>
      </c>
      <c r="G70" s="366"/>
      <c r="H70" s="322"/>
      <c r="I70" s="322"/>
      <c r="J70" s="323"/>
      <c r="K70" s="322"/>
      <c r="L70" s="324">
        <v>1</v>
      </c>
      <c r="M70" s="324"/>
      <c r="N70" s="324"/>
      <c r="O70" s="325"/>
      <c r="P70" s="324"/>
      <c r="Q70" s="325"/>
      <c r="R70" s="324"/>
      <c r="S70" s="325"/>
      <c r="T70" s="324"/>
      <c r="U70" s="325"/>
      <c r="V70" s="324"/>
      <c r="W70" s="325"/>
      <c r="X70" s="324"/>
      <c r="Y70" s="303"/>
      <c r="Z70" s="303"/>
      <c r="AA70" s="294"/>
    </row>
    <row r="71" spans="1:27" s="276" customFormat="1" ht="21.75" customHeight="1" x14ac:dyDescent="0.2">
      <c r="A71" s="281" t="s">
        <v>3</v>
      </c>
      <c r="B71" s="281"/>
      <c r="C71" s="281"/>
      <c r="D71" s="281"/>
      <c r="E71" s="281"/>
      <c r="F71" s="281"/>
      <c r="G71" s="281"/>
      <c r="H71" s="326">
        <f>SUM(H54:H70)</f>
        <v>1</v>
      </c>
      <c r="I71" s="326">
        <f t="shared" ref="I71:X71" si="2">SUM(I54:I70)</f>
        <v>0</v>
      </c>
      <c r="J71" s="326">
        <f t="shared" si="2"/>
        <v>0</v>
      </c>
      <c r="K71" s="326">
        <f t="shared" si="2"/>
        <v>0</v>
      </c>
      <c r="L71" s="326">
        <f t="shared" si="2"/>
        <v>11</v>
      </c>
      <c r="M71" s="326">
        <f t="shared" si="2"/>
        <v>0</v>
      </c>
      <c r="N71" s="326">
        <f t="shared" si="2"/>
        <v>0</v>
      </c>
      <c r="O71" s="326">
        <f t="shared" si="2"/>
        <v>0</v>
      </c>
      <c r="P71" s="326">
        <f t="shared" si="2"/>
        <v>0</v>
      </c>
      <c r="Q71" s="326">
        <f t="shared" si="2"/>
        <v>0</v>
      </c>
      <c r="R71" s="326">
        <f t="shared" si="2"/>
        <v>0</v>
      </c>
      <c r="S71" s="326">
        <f t="shared" si="2"/>
        <v>2.5</v>
      </c>
      <c r="T71" s="326">
        <f t="shared" si="2"/>
        <v>0</v>
      </c>
      <c r="U71" s="326">
        <f t="shared" si="2"/>
        <v>0</v>
      </c>
      <c r="V71" s="326">
        <f t="shared" si="2"/>
        <v>0</v>
      </c>
      <c r="W71" s="326">
        <f t="shared" si="2"/>
        <v>0</v>
      </c>
      <c r="X71" s="326">
        <f t="shared" si="2"/>
        <v>0</v>
      </c>
      <c r="Y71" s="296"/>
      <c r="Z71" s="296"/>
      <c r="AA71" s="281"/>
    </row>
    <row r="72" spans="1:27" s="276" customFormat="1" ht="21.75" customHeight="1" thickBot="1" x14ac:dyDescent="0.25">
      <c r="H72" s="327"/>
      <c r="I72" s="327"/>
      <c r="J72" s="327"/>
      <c r="K72" s="327"/>
      <c r="L72" s="328"/>
      <c r="M72" s="328"/>
      <c r="N72" s="328"/>
      <c r="O72" s="328"/>
      <c r="P72" s="328"/>
      <c r="Q72" s="328"/>
      <c r="R72" s="328"/>
      <c r="S72" s="328"/>
      <c r="T72" s="328"/>
      <c r="U72" s="328"/>
      <c r="V72" s="328"/>
      <c r="W72" s="328"/>
      <c r="X72" s="328"/>
      <c r="Y72" s="304"/>
      <c r="Z72" s="304"/>
    </row>
    <row r="73" spans="1:27" s="276" customFormat="1" ht="21.75" customHeight="1" thickBot="1" x14ac:dyDescent="0.25">
      <c r="A73" s="297" t="s">
        <v>169</v>
      </c>
      <c r="B73" s="285" t="s">
        <v>181</v>
      </c>
      <c r="C73" s="285"/>
      <c r="D73" s="285"/>
      <c r="E73" s="285"/>
      <c r="F73" s="285"/>
      <c r="G73" s="285"/>
      <c r="H73" s="369" t="s">
        <v>91</v>
      </c>
      <c r="I73" s="370"/>
      <c r="J73" s="370"/>
      <c r="K73" s="371"/>
      <c r="L73" s="372" t="s">
        <v>90</v>
      </c>
      <c r="M73" s="374" t="s">
        <v>157</v>
      </c>
      <c r="N73" s="374" t="s">
        <v>158</v>
      </c>
      <c r="O73" s="376" t="s">
        <v>159</v>
      </c>
      <c r="P73" s="377"/>
      <c r="Q73" s="378"/>
      <c r="R73" s="374" t="s">
        <v>160</v>
      </c>
      <c r="S73" s="376" t="s">
        <v>19</v>
      </c>
      <c r="T73" s="377"/>
      <c r="U73" s="378"/>
      <c r="V73" s="374" t="s">
        <v>124</v>
      </c>
      <c r="W73" s="374" t="s">
        <v>125</v>
      </c>
      <c r="X73" s="363" t="s">
        <v>105</v>
      </c>
      <c r="Y73" s="296" t="s">
        <v>161</v>
      </c>
      <c r="Z73" s="296"/>
      <c r="AA73" s="281" t="s">
        <v>162</v>
      </c>
    </row>
    <row r="74" spans="1:27" s="276" customFormat="1" ht="21.75" customHeight="1" thickBot="1" x14ac:dyDescent="0.25">
      <c r="A74" s="297" t="s">
        <v>171</v>
      </c>
      <c r="B74" s="285" t="s">
        <v>182</v>
      </c>
      <c r="C74" s="285"/>
      <c r="D74" s="285"/>
      <c r="E74" s="285"/>
      <c r="F74" s="285"/>
      <c r="G74" s="285"/>
      <c r="H74" s="282" t="s">
        <v>165</v>
      </c>
      <c r="I74" s="282" t="s">
        <v>93</v>
      </c>
      <c r="J74" s="282" t="s">
        <v>94</v>
      </c>
      <c r="K74" s="283" t="s">
        <v>166</v>
      </c>
      <c r="L74" s="373"/>
      <c r="M74" s="375"/>
      <c r="N74" s="375"/>
      <c r="O74" s="284" t="s">
        <v>167</v>
      </c>
      <c r="P74" s="284" t="s">
        <v>168</v>
      </c>
      <c r="Q74" s="315" t="s">
        <v>125</v>
      </c>
      <c r="R74" s="375"/>
      <c r="S74" s="284" t="s">
        <v>167</v>
      </c>
      <c r="T74" s="284" t="s">
        <v>168</v>
      </c>
      <c r="U74" s="315" t="s">
        <v>125</v>
      </c>
      <c r="V74" s="375"/>
      <c r="W74" s="375"/>
      <c r="X74" s="364"/>
      <c r="Y74" s="296" t="s">
        <v>163</v>
      </c>
      <c r="Z74" s="296" t="s">
        <v>164</v>
      </c>
      <c r="AA74" s="281"/>
    </row>
    <row r="75" spans="1:27" s="276" customFormat="1" ht="21.75" customHeight="1" x14ac:dyDescent="0.2">
      <c r="A75" s="293" t="s">
        <v>216</v>
      </c>
      <c r="B75" s="287">
        <v>0.41805555555555557</v>
      </c>
      <c r="C75" s="287">
        <v>0.58750000000000002</v>
      </c>
      <c r="D75" s="287">
        <v>0.41805555555555557</v>
      </c>
      <c r="E75" s="287">
        <v>0.58750000000000002</v>
      </c>
      <c r="F75" s="288">
        <v>0.41666666666666669</v>
      </c>
      <c r="G75" s="288">
        <v>0.58750000000000002</v>
      </c>
      <c r="H75" s="318"/>
      <c r="I75" s="318"/>
      <c r="J75" s="319"/>
      <c r="K75" s="318"/>
      <c r="L75" s="320"/>
      <c r="M75" s="320"/>
      <c r="N75" s="320"/>
      <c r="O75" s="321"/>
      <c r="P75" s="320"/>
      <c r="Q75" s="321"/>
      <c r="R75" s="320"/>
      <c r="S75" s="321"/>
      <c r="T75" s="320"/>
      <c r="U75" s="321"/>
      <c r="V75" s="320"/>
      <c r="W75" s="321"/>
      <c r="X75" s="320"/>
      <c r="Y75" s="298">
        <v>0</v>
      </c>
      <c r="Z75" s="298">
        <v>0</v>
      </c>
      <c r="AA75" s="293"/>
    </row>
    <row r="76" spans="1:27" s="276" customFormat="1" ht="21.75" customHeight="1" x14ac:dyDescent="0.2">
      <c r="A76" s="294" t="s">
        <v>216</v>
      </c>
      <c r="B76" s="286">
        <v>0.62708333333333333</v>
      </c>
      <c r="C76" s="286">
        <v>0.79375000000000007</v>
      </c>
      <c r="D76" s="286">
        <v>0.62708333333333333</v>
      </c>
      <c r="E76" s="286">
        <v>0.79375000000000007</v>
      </c>
      <c r="F76" s="307">
        <v>0.62916666666666665</v>
      </c>
      <c r="G76" s="307">
        <v>0.79166666666666663</v>
      </c>
      <c r="H76" s="322"/>
      <c r="I76" s="322"/>
      <c r="J76" s="323"/>
      <c r="K76" s="322"/>
      <c r="L76" s="324">
        <v>1</v>
      </c>
      <c r="M76" s="324"/>
      <c r="N76" s="324"/>
      <c r="O76" s="325"/>
      <c r="P76" s="324"/>
      <c r="Q76" s="325"/>
      <c r="R76" s="324"/>
      <c r="S76" s="325"/>
      <c r="T76" s="324"/>
      <c r="U76" s="325"/>
      <c r="V76" s="324"/>
      <c r="W76" s="325"/>
      <c r="X76" s="324"/>
      <c r="Y76" s="299">
        <v>0</v>
      </c>
      <c r="Z76" s="299">
        <v>0</v>
      </c>
      <c r="AA76" s="294"/>
    </row>
    <row r="77" spans="1:27" s="276" customFormat="1" ht="21.75" customHeight="1" x14ac:dyDescent="0.2">
      <c r="A77" s="293" t="s">
        <v>218</v>
      </c>
      <c r="B77" s="287">
        <v>0.41041666666666665</v>
      </c>
      <c r="C77" s="287">
        <v>0.58888888888888891</v>
      </c>
      <c r="D77" s="287">
        <v>0.41041666666666665</v>
      </c>
      <c r="E77" s="287">
        <v>0.58888888888888891</v>
      </c>
      <c r="F77" s="288">
        <v>0.41666666666666669</v>
      </c>
      <c r="G77" s="288">
        <v>0.58888888888888891</v>
      </c>
      <c r="H77" s="318"/>
      <c r="I77" s="318"/>
      <c r="J77" s="319"/>
      <c r="K77" s="318"/>
      <c r="L77" s="320"/>
      <c r="M77" s="320"/>
      <c r="N77" s="320"/>
      <c r="O77" s="321"/>
      <c r="P77" s="320"/>
      <c r="Q77" s="321"/>
      <c r="R77" s="320"/>
      <c r="S77" s="321"/>
      <c r="T77" s="320"/>
      <c r="U77" s="321"/>
      <c r="V77" s="320"/>
      <c r="W77" s="321"/>
      <c r="X77" s="320"/>
      <c r="Y77" s="298">
        <v>0</v>
      </c>
      <c r="Z77" s="298">
        <v>0</v>
      </c>
      <c r="AA77" s="293"/>
    </row>
    <row r="78" spans="1:27" s="276" customFormat="1" ht="21.75" customHeight="1" x14ac:dyDescent="0.2">
      <c r="A78" s="294" t="s">
        <v>218</v>
      </c>
      <c r="B78" s="286">
        <v>0.62847222222222221</v>
      </c>
      <c r="C78" s="286">
        <v>0.79305555555555562</v>
      </c>
      <c r="D78" s="286">
        <v>0.62847222222222221</v>
      </c>
      <c r="E78" s="286">
        <v>0.79305555555555562</v>
      </c>
      <c r="F78" s="307">
        <v>0.63055555555555554</v>
      </c>
      <c r="G78" s="307">
        <v>0.79166666666666663</v>
      </c>
      <c r="H78" s="322"/>
      <c r="I78" s="322"/>
      <c r="J78" s="323"/>
      <c r="K78" s="322"/>
      <c r="L78" s="324">
        <v>1</v>
      </c>
      <c r="M78" s="324"/>
      <c r="N78" s="324"/>
      <c r="O78" s="325"/>
      <c r="P78" s="324"/>
      <c r="Q78" s="325"/>
      <c r="R78" s="324"/>
      <c r="S78" s="325"/>
      <c r="T78" s="324"/>
      <c r="U78" s="325"/>
      <c r="V78" s="324"/>
      <c r="W78" s="325"/>
      <c r="X78" s="324"/>
      <c r="Y78" s="299">
        <v>0</v>
      </c>
      <c r="Z78" s="299">
        <v>0</v>
      </c>
      <c r="AA78" s="294"/>
    </row>
    <row r="79" spans="1:27" s="276" customFormat="1" ht="21.75" customHeight="1" x14ac:dyDescent="0.2">
      <c r="A79" s="293" t="s">
        <v>219</v>
      </c>
      <c r="B79" s="300"/>
      <c r="C79" s="300"/>
      <c r="D79" s="301"/>
      <c r="E79" s="301"/>
      <c r="F79" s="365" t="s">
        <v>173</v>
      </c>
      <c r="G79" s="365"/>
      <c r="H79" s="318"/>
      <c r="I79" s="318"/>
      <c r="J79" s="319"/>
      <c r="K79" s="318"/>
      <c r="L79" s="320"/>
      <c r="M79" s="320"/>
      <c r="N79" s="320"/>
      <c r="O79" s="321"/>
      <c r="P79" s="320"/>
      <c r="Q79" s="321"/>
      <c r="R79" s="320"/>
      <c r="S79" s="321"/>
      <c r="T79" s="320"/>
      <c r="U79" s="321"/>
      <c r="V79" s="320"/>
      <c r="W79" s="321"/>
      <c r="X79" s="320"/>
      <c r="Y79" s="302"/>
      <c r="Z79" s="302"/>
      <c r="AA79" s="293"/>
    </row>
    <row r="80" spans="1:27" s="276" customFormat="1" ht="21.75" customHeight="1" x14ac:dyDescent="0.2">
      <c r="A80" s="294" t="s">
        <v>220</v>
      </c>
      <c r="B80" s="289"/>
      <c r="C80" s="289"/>
      <c r="D80" s="290"/>
      <c r="E80" s="290"/>
      <c r="F80" s="366" t="s">
        <v>173</v>
      </c>
      <c r="G80" s="366"/>
      <c r="H80" s="322"/>
      <c r="I80" s="322"/>
      <c r="J80" s="323"/>
      <c r="K80" s="322"/>
      <c r="L80" s="324"/>
      <c r="M80" s="324"/>
      <c r="N80" s="324"/>
      <c r="O80" s="325"/>
      <c r="P80" s="324"/>
      <c r="Q80" s="325"/>
      <c r="R80" s="324"/>
      <c r="S80" s="325"/>
      <c r="T80" s="324"/>
      <c r="U80" s="325"/>
      <c r="V80" s="324"/>
      <c r="W80" s="325"/>
      <c r="X80" s="324"/>
      <c r="Y80" s="303"/>
      <c r="Z80" s="303"/>
      <c r="AA80" s="294"/>
    </row>
    <row r="81" spans="1:27" s="276" customFormat="1" ht="21.75" customHeight="1" x14ac:dyDescent="0.2">
      <c r="A81" s="294" t="s">
        <v>222</v>
      </c>
      <c r="B81" s="286">
        <v>0.4770833333333333</v>
      </c>
      <c r="C81" s="286">
        <v>0.59375</v>
      </c>
      <c r="D81" s="286">
        <v>0.4770833333333333</v>
      </c>
      <c r="E81" s="286">
        <v>0.59375</v>
      </c>
      <c r="F81" s="307">
        <v>0.47916666666666669</v>
      </c>
      <c r="G81" s="307">
        <v>0.59375</v>
      </c>
      <c r="H81" s="322"/>
      <c r="I81" s="322"/>
      <c r="J81" s="323"/>
      <c r="K81" s="322"/>
      <c r="L81" s="324"/>
      <c r="M81" s="324"/>
      <c r="N81" s="324"/>
      <c r="O81" s="325"/>
      <c r="P81" s="324"/>
      <c r="Q81" s="325"/>
      <c r="R81" s="324"/>
      <c r="S81" s="325"/>
      <c r="T81" s="324"/>
      <c r="U81" s="325"/>
      <c r="V81" s="324"/>
      <c r="W81" s="325"/>
      <c r="X81" s="324"/>
      <c r="Y81" s="299">
        <v>0</v>
      </c>
      <c r="Z81" s="299">
        <v>0</v>
      </c>
      <c r="AA81" s="294"/>
    </row>
    <row r="82" spans="1:27" s="276" customFormat="1" ht="21.75" customHeight="1" x14ac:dyDescent="0.2">
      <c r="A82" s="293" t="s">
        <v>222</v>
      </c>
      <c r="B82" s="287">
        <v>0.75902777777777775</v>
      </c>
      <c r="C82" s="287">
        <v>0.98055555555555562</v>
      </c>
      <c r="D82" s="287">
        <v>0.75902777777777775</v>
      </c>
      <c r="E82" s="287">
        <v>0.98055555555555562</v>
      </c>
      <c r="F82" s="288">
        <v>0.76041666666666663</v>
      </c>
      <c r="G82" s="288">
        <v>0.97916666666666663</v>
      </c>
      <c r="H82" s="318"/>
      <c r="I82" s="318"/>
      <c r="J82" s="319"/>
      <c r="K82" s="318"/>
      <c r="L82" s="320">
        <v>1</v>
      </c>
      <c r="M82" s="320"/>
      <c r="N82" s="320"/>
      <c r="O82" s="321"/>
      <c r="P82" s="320"/>
      <c r="Q82" s="321"/>
      <c r="R82" s="320"/>
      <c r="S82" s="321">
        <v>1.5</v>
      </c>
      <c r="T82" s="320"/>
      <c r="U82" s="321"/>
      <c r="V82" s="320"/>
      <c r="W82" s="321"/>
      <c r="X82" s="320"/>
      <c r="Y82" s="298">
        <v>0</v>
      </c>
      <c r="Z82" s="298">
        <v>0</v>
      </c>
      <c r="AA82" s="293"/>
    </row>
    <row r="83" spans="1:27" s="276" customFormat="1" ht="21.75" customHeight="1" x14ac:dyDescent="0.2">
      <c r="A83" s="293" t="s">
        <v>223</v>
      </c>
      <c r="B83" s="300"/>
      <c r="C83" s="300"/>
      <c r="D83" s="301"/>
      <c r="E83" s="301"/>
      <c r="F83" s="365" t="s">
        <v>224</v>
      </c>
      <c r="G83" s="365"/>
      <c r="H83" s="318"/>
      <c r="I83" s="318"/>
      <c r="J83" s="319"/>
      <c r="K83" s="318"/>
      <c r="L83" s="320"/>
      <c r="M83" s="320"/>
      <c r="N83" s="320"/>
      <c r="O83" s="321"/>
      <c r="P83" s="320"/>
      <c r="Q83" s="321"/>
      <c r="R83" s="320"/>
      <c r="S83" s="321"/>
      <c r="T83" s="320"/>
      <c r="U83" s="321"/>
      <c r="V83" s="320"/>
      <c r="W83" s="321"/>
      <c r="X83" s="320"/>
      <c r="Y83" s="302"/>
      <c r="Z83" s="302"/>
      <c r="AA83" s="293"/>
    </row>
    <row r="84" spans="1:27" s="276" customFormat="1" ht="21.75" customHeight="1" x14ac:dyDescent="0.2">
      <c r="A84" s="294" t="s">
        <v>225</v>
      </c>
      <c r="B84" s="289"/>
      <c r="C84" s="289"/>
      <c r="D84" s="290"/>
      <c r="E84" s="290"/>
      <c r="F84" s="366" t="s">
        <v>224</v>
      </c>
      <c r="G84" s="366"/>
      <c r="H84" s="322"/>
      <c r="I84" s="322"/>
      <c r="J84" s="323"/>
      <c r="K84" s="322"/>
      <c r="L84" s="324"/>
      <c r="M84" s="324"/>
      <c r="N84" s="324"/>
      <c r="O84" s="325"/>
      <c r="P84" s="324"/>
      <c r="Q84" s="325"/>
      <c r="R84" s="324"/>
      <c r="S84" s="325"/>
      <c r="T84" s="324"/>
      <c r="U84" s="325"/>
      <c r="V84" s="324"/>
      <c r="W84" s="325"/>
      <c r="X84" s="324"/>
      <c r="Y84" s="303"/>
      <c r="Z84" s="303"/>
      <c r="AA84" s="294"/>
    </row>
    <row r="85" spans="1:27" s="276" customFormat="1" ht="21.75" customHeight="1" x14ac:dyDescent="0.2">
      <c r="A85" s="293" t="s">
        <v>226</v>
      </c>
      <c r="B85" s="287">
        <v>0.47500000000000003</v>
      </c>
      <c r="C85" s="287">
        <v>0.58750000000000002</v>
      </c>
      <c r="D85" s="287">
        <v>0.47500000000000003</v>
      </c>
      <c r="E85" s="287">
        <v>0.58750000000000002</v>
      </c>
      <c r="F85" s="288">
        <v>0.47916666666666669</v>
      </c>
      <c r="G85" s="288">
        <v>0.58750000000000002</v>
      </c>
      <c r="H85" s="318"/>
      <c r="I85" s="318"/>
      <c r="J85" s="319"/>
      <c r="K85" s="318"/>
      <c r="L85" s="320"/>
      <c r="M85" s="320"/>
      <c r="N85" s="320"/>
      <c r="O85" s="321"/>
      <c r="P85" s="320"/>
      <c r="Q85" s="321"/>
      <c r="R85" s="320"/>
      <c r="S85" s="321"/>
      <c r="T85" s="320"/>
      <c r="U85" s="321"/>
      <c r="V85" s="320"/>
      <c r="W85" s="321"/>
      <c r="X85" s="320"/>
      <c r="Y85" s="298">
        <v>0</v>
      </c>
      <c r="Z85" s="298">
        <v>0</v>
      </c>
      <c r="AA85" s="293"/>
    </row>
    <row r="86" spans="1:27" s="276" customFormat="1" ht="21.75" customHeight="1" x14ac:dyDescent="0.2">
      <c r="A86" s="294" t="s">
        <v>226</v>
      </c>
      <c r="B86" s="286">
        <v>0.74930555555555556</v>
      </c>
      <c r="C86" s="286">
        <v>0.97916666666666663</v>
      </c>
      <c r="D86" s="286">
        <v>0.74930555555555556</v>
      </c>
      <c r="E86" s="286">
        <v>0.97916666666666663</v>
      </c>
      <c r="F86" s="307">
        <v>0.75416666666666676</v>
      </c>
      <c r="G86" s="307">
        <v>0.97916666666666663</v>
      </c>
      <c r="H86" s="322"/>
      <c r="I86" s="322"/>
      <c r="J86" s="323"/>
      <c r="K86" s="322"/>
      <c r="L86" s="324">
        <v>1</v>
      </c>
      <c r="M86" s="324"/>
      <c r="N86" s="324"/>
      <c r="O86" s="325"/>
      <c r="P86" s="324"/>
      <c r="Q86" s="325"/>
      <c r="R86" s="324"/>
      <c r="S86" s="325">
        <v>1.5</v>
      </c>
      <c r="T86" s="324"/>
      <c r="U86" s="325"/>
      <c r="V86" s="324"/>
      <c r="W86" s="325"/>
      <c r="X86" s="324"/>
      <c r="Y86" s="299">
        <v>0</v>
      </c>
      <c r="Z86" s="299">
        <v>0</v>
      </c>
      <c r="AA86" s="294"/>
    </row>
    <row r="87" spans="1:27" s="276" customFormat="1" ht="21.75" customHeight="1" x14ac:dyDescent="0.2">
      <c r="A87" s="293" t="s">
        <v>228</v>
      </c>
      <c r="B87" s="287">
        <v>0.48194444444444445</v>
      </c>
      <c r="C87" s="287">
        <v>0.60555555555555551</v>
      </c>
      <c r="D87" s="287">
        <v>0.48194444444444445</v>
      </c>
      <c r="E87" s="287">
        <v>0.60555555555555551</v>
      </c>
      <c r="F87" s="288">
        <v>0.47916666666666669</v>
      </c>
      <c r="G87" s="288">
        <v>0.60555555555555551</v>
      </c>
      <c r="H87" s="318"/>
      <c r="I87" s="318"/>
      <c r="J87" s="319"/>
      <c r="K87" s="318"/>
      <c r="L87" s="320"/>
      <c r="M87" s="320"/>
      <c r="N87" s="320"/>
      <c r="O87" s="321"/>
      <c r="P87" s="320"/>
      <c r="Q87" s="321"/>
      <c r="R87" s="320"/>
      <c r="S87" s="321"/>
      <c r="T87" s="320"/>
      <c r="U87" s="321"/>
      <c r="V87" s="320"/>
      <c r="W87" s="321"/>
      <c r="X87" s="320"/>
      <c r="Y87" s="298">
        <v>0</v>
      </c>
      <c r="Z87" s="298">
        <v>0</v>
      </c>
      <c r="AA87" s="293"/>
    </row>
    <row r="88" spans="1:27" s="276" customFormat="1" ht="21.75" customHeight="1" x14ac:dyDescent="0.2">
      <c r="A88" s="294" t="s">
        <v>228</v>
      </c>
      <c r="B88" s="286">
        <v>0.76666666666666661</v>
      </c>
      <c r="C88" s="286">
        <v>0.97986111111111107</v>
      </c>
      <c r="D88" s="286">
        <v>0.76666666666666661</v>
      </c>
      <c r="E88" s="286">
        <v>0.97986111111111107</v>
      </c>
      <c r="F88" s="307">
        <v>0.77222222222222225</v>
      </c>
      <c r="G88" s="307">
        <v>0.97916666666666663</v>
      </c>
      <c r="H88" s="322"/>
      <c r="I88" s="322"/>
      <c r="J88" s="323"/>
      <c r="K88" s="322"/>
      <c r="L88" s="324">
        <v>1</v>
      </c>
      <c r="M88" s="324"/>
      <c r="N88" s="324"/>
      <c r="O88" s="325"/>
      <c r="P88" s="324"/>
      <c r="Q88" s="325"/>
      <c r="R88" s="324"/>
      <c r="S88" s="325">
        <v>1.5</v>
      </c>
      <c r="T88" s="324"/>
      <c r="U88" s="325"/>
      <c r="V88" s="324"/>
      <c r="W88" s="325"/>
      <c r="X88" s="324"/>
      <c r="Y88" s="299">
        <v>0</v>
      </c>
      <c r="Z88" s="299">
        <v>0</v>
      </c>
      <c r="AA88" s="294"/>
    </row>
    <row r="89" spans="1:27" s="276" customFormat="1" ht="21.75" customHeight="1" x14ac:dyDescent="0.2">
      <c r="A89" s="294" t="s">
        <v>229</v>
      </c>
      <c r="B89" s="286">
        <v>0.52013888888888882</v>
      </c>
      <c r="C89" s="286">
        <v>0.63680555555555551</v>
      </c>
      <c r="D89" s="286">
        <v>0.52013888888888882</v>
      </c>
      <c r="E89" s="286">
        <v>0.63680555555555551</v>
      </c>
      <c r="F89" s="286">
        <v>0</v>
      </c>
      <c r="G89" s="307">
        <v>0.63680555555555551</v>
      </c>
      <c r="H89" s="322"/>
      <c r="I89" s="322"/>
      <c r="J89" s="323"/>
      <c r="K89" s="322"/>
      <c r="L89" s="324"/>
      <c r="M89" s="324"/>
      <c r="N89" s="324"/>
      <c r="O89" s="325"/>
      <c r="P89" s="324"/>
      <c r="Q89" s="325"/>
      <c r="R89" s="324"/>
      <c r="S89" s="325"/>
      <c r="T89" s="324"/>
      <c r="U89" s="325"/>
      <c r="V89" s="324"/>
      <c r="W89" s="325"/>
      <c r="X89" s="324"/>
      <c r="Y89" s="299">
        <v>0</v>
      </c>
      <c r="Z89" s="299">
        <v>0</v>
      </c>
      <c r="AA89" s="294" t="s">
        <v>245</v>
      </c>
    </row>
    <row r="90" spans="1:27" s="276" customFormat="1" ht="21.75" customHeight="1" x14ac:dyDescent="0.2">
      <c r="A90" s="293" t="s">
        <v>229</v>
      </c>
      <c r="B90" s="287">
        <v>0.67708333333333337</v>
      </c>
      <c r="C90" s="287">
        <v>0.875</v>
      </c>
      <c r="D90" s="287">
        <v>0.67708333333333337</v>
      </c>
      <c r="E90" s="287">
        <v>0.875</v>
      </c>
      <c r="F90" s="288">
        <v>0.67847222222222225</v>
      </c>
      <c r="G90" s="288">
        <v>0.875</v>
      </c>
      <c r="H90" s="318"/>
      <c r="I90" s="318"/>
      <c r="J90" s="319"/>
      <c r="K90" s="318"/>
      <c r="L90" s="320">
        <v>1</v>
      </c>
      <c r="M90" s="320">
        <f>29/60</f>
        <v>0.48333333333333334</v>
      </c>
      <c r="N90" s="320"/>
      <c r="O90" s="321"/>
      <c r="P90" s="320"/>
      <c r="Q90" s="321"/>
      <c r="R90" s="320"/>
      <c r="S90" s="321"/>
      <c r="T90" s="320"/>
      <c r="U90" s="321"/>
      <c r="V90" s="320"/>
      <c r="W90" s="321"/>
      <c r="X90" s="320"/>
      <c r="Y90" s="298">
        <v>0</v>
      </c>
      <c r="Z90" s="298">
        <v>0</v>
      </c>
      <c r="AA90" s="293"/>
    </row>
    <row r="91" spans="1:27" s="276" customFormat="1" ht="21.75" customHeight="1" x14ac:dyDescent="0.2">
      <c r="A91" s="293" t="s">
        <v>231</v>
      </c>
      <c r="B91" s="300"/>
      <c r="C91" s="300"/>
      <c r="D91" s="301"/>
      <c r="E91" s="301"/>
      <c r="F91" s="365"/>
      <c r="G91" s="365"/>
      <c r="H91" s="318"/>
      <c r="I91" s="318"/>
      <c r="J91" s="319"/>
      <c r="K91" s="318"/>
      <c r="L91" s="320"/>
      <c r="M91" s="320"/>
      <c r="N91" s="320"/>
      <c r="O91" s="321"/>
      <c r="P91" s="320"/>
      <c r="Q91" s="321"/>
      <c r="R91" s="320"/>
      <c r="S91" s="321"/>
      <c r="T91" s="320"/>
      <c r="U91" s="321"/>
      <c r="V91" s="320"/>
      <c r="W91" s="321"/>
      <c r="X91" s="320"/>
      <c r="Y91" s="302"/>
      <c r="Z91" s="302"/>
      <c r="AA91" s="293"/>
    </row>
    <row r="92" spans="1:27" s="276" customFormat="1" ht="21.75" customHeight="1" x14ac:dyDescent="0.2">
      <c r="A92" s="293" t="s">
        <v>232</v>
      </c>
      <c r="B92" s="287">
        <v>0.47916666666666669</v>
      </c>
      <c r="C92" s="287">
        <v>0.58888888888888891</v>
      </c>
      <c r="D92" s="287">
        <v>0.47916666666666669</v>
      </c>
      <c r="E92" s="287">
        <v>0.58888888888888891</v>
      </c>
      <c r="F92" s="288">
        <v>0.47916666666666669</v>
      </c>
      <c r="G92" s="288">
        <v>0.58888888888888891</v>
      </c>
      <c r="H92" s="318"/>
      <c r="I92" s="318"/>
      <c r="J92" s="319"/>
      <c r="K92" s="318"/>
      <c r="L92" s="320"/>
      <c r="M92" s="320"/>
      <c r="N92" s="320"/>
      <c r="O92" s="321"/>
      <c r="P92" s="320"/>
      <c r="Q92" s="321"/>
      <c r="R92" s="320"/>
      <c r="S92" s="321"/>
      <c r="T92" s="320"/>
      <c r="U92" s="321"/>
      <c r="V92" s="320"/>
      <c r="W92" s="321"/>
      <c r="X92" s="320"/>
      <c r="Y92" s="298">
        <v>0</v>
      </c>
      <c r="Z92" s="298">
        <v>0</v>
      </c>
      <c r="AA92" s="293"/>
    </row>
    <row r="93" spans="1:27" s="276" customFormat="1" ht="21.75" customHeight="1" x14ac:dyDescent="0.2">
      <c r="A93" s="294" t="s">
        <v>232</v>
      </c>
      <c r="B93" s="286">
        <v>0.75069444444444444</v>
      </c>
      <c r="C93" s="286">
        <v>0.97986111111111107</v>
      </c>
      <c r="D93" s="286">
        <v>0.75069444444444444</v>
      </c>
      <c r="E93" s="286">
        <v>0.97986111111111107</v>
      </c>
      <c r="F93" s="307">
        <v>0.75555555555555554</v>
      </c>
      <c r="G93" s="307">
        <v>0.97916666666666663</v>
      </c>
      <c r="H93" s="322"/>
      <c r="I93" s="322"/>
      <c r="J93" s="323"/>
      <c r="K93" s="322"/>
      <c r="L93" s="324">
        <v>1</v>
      </c>
      <c r="M93" s="324"/>
      <c r="N93" s="324"/>
      <c r="O93" s="325"/>
      <c r="P93" s="324"/>
      <c r="Q93" s="325"/>
      <c r="R93" s="324"/>
      <c r="S93" s="325">
        <v>1.5</v>
      </c>
      <c r="T93" s="324"/>
      <c r="U93" s="325"/>
      <c r="V93" s="324"/>
      <c r="W93" s="325"/>
      <c r="X93" s="324"/>
      <c r="Y93" s="299">
        <v>0</v>
      </c>
      <c r="Z93" s="299">
        <v>0</v>
      </c>
      <c r="AA93" s="294"/>
    </row>
    <row r="94" spans="1:27" s="276" customFormat="1" ht="21.75" customHeight="1" x14ac:dyDescent="0.2">
      <c r="A94" s="294" t="s">
        <v>233</v>
      </c>
      <c r="B94" s="286">
        <v>0.48333333333333334</v>
      </c>
      <c r="C94" s="286">
        <v>0.59236111111111112</v>
      </c>
      <c r="D94" s="286">
        <v>0.48333333333333334</v>
      </c>
      <c r="E94" s="286">
        <v>0.59236111111111112</v>
      </c>
      <c r="F94" s="286">
        <v>0</v>
      </c>
      <c r="G94" s="286">
        <v>0</v>
      </c>
      <c r="H94" s="322"/>
      <c r="I94" s="322"/>
      <c r="J94" s="323"/>
      <c r="K94" s="322"/>
      <c r="L94" s="324">
        <v>1</v>
      </c>
      <c r="M94" s="324"/>
      <c r="N94" s="324"/>
      <c r="O94" s="325"/>
      <c r="P94" s="324"/>
      <c r="Q94" s="325"/>
      <c r="R94" s="324"/>
      <c r="S94" s="325">
        <v>1.5</v>
      </c>
      <c r="T94" s="324"/>
      <c r="U94" s="325"/>
      <c r="V94" s="324"/>
      <c r="W94" s="325"/>
      <c r="X94" s="324"/>
      <c r="Y94" s="299">
        <v>0</v>
      </c>
      <c r="Z94" s="299">
        <v>0</v>
      </c>
      <c r="AA94" s="294"/>
    </row>
    <row r="95" spans="1:27" s="276" customFormat="1" ht="21.75" customHeight="1" x14ac:dyDescent="0.2">
      <c r="A95" s="293" t="s">
        <v>234</v>
      </c>
      <c r="B95" s="300"/>
      <c r="C95" s="300"/>
      <c r="D95" s="301"/>
      <c r="E95" s="301"/>
      <c r="F95" s="365" t="s">
        <v>239</v>
      </c>
      <c r="G95" s="365"/>
      <c r="H95" s="318"/>
      <c r="I95" s="318"/>
      <c r="J95" s="319"/>
      <c r="K95" s="318"/>
      <c r="L95" s="320">
        <v>1</v>
      </c>
      <c r="M95" s="320"/>
      <c r="N95" s="320"/>
      <c r="O95" s="321"/>
      <c r="P95" s="320"/>
      <c r="Q95" s="321"/>
      <c r="R95" s="320"/>
      <c r="S95" s="321">
        <v>1.5</v>
      </c>
      <c r="T95" s="320"/>
      <c r="U95" s="321"/>
      <c r="V95" s="320"/>
      <c r="W95" s="321"/>
      <c r="X95" s="320"/>
      <c r="Y95" s="302"/>
      <c r="Z95" s="302"/>
      <c r="AA95" s="293"/>
    </row>
    <row r="96" spans="1:27" s="276" customFormat="1" ht="21.75" customHeight="1" x14ac:dyDescent="0.2">
      <c r="A96" s="294" t="s">
        <v>236</v>
      </c>
      <c r="B96" s="289"/>
      <c r="C96" s="289"/>
      <c r="D96" s="290"/>
      <c r="E96" s="290"/>
      <c r="F96" s="365" t="s">
        <v>239</v>
      </c>
      <c r="G96" s="365"/>
      <c r="H96" s="322"/>
      <c r="I96" s="322"/>
      <c r="J96" s="323"/>
      <c r="K96" s="322"/>
      <c r="L96" s="324">
        <v>1</v>
      </c>
      <c r="M96" s="324"/>
      <c r="N96" s="324"/>
      <c r="O96" s="325"/>
      <c r="P96" s="324"/>
      <c r="Q96" s="325"/>
      <c r="R96" s="324"/>
      <c r="S96" s="325">
        <v>1.5</v>
      </c>
      <c r="T96" s="324"/>
      <c r="U96" s="325"/>
      <c r="V96" s="324"/>
      <c r="W96" s="325"/>
      <c r="X96" s="324"/>
      <c r="Y96" s="303"/>
      <c r="Z96" s="303"/>
      <c r="AA96" s="294"/>
    </row>
    <row r="97" spans="1:27" s="276" customFormat="1" ht="21.75" customHeight="1" x14ac:dyDescent="0.2">
      <c r="A97" s="293" t="s">
        <v>237</v>
      </c>
      <c r="B97" s="300"/>
      <c r="C97" s="300"/>
      <c r="D97" s="301"/>
      <c r="E97" s="301"/>
      <c r="F97" s="365" t="s">
        <v>239</v>
      </c>
      <c r="G97" s="365"/>
      <c r="H97" s="318"/>
      <c r="I97" s="318"/>
      <c r="J97" s="319"/>
      <c r="K97" s="318"/>
      <c r="L97" s="320">
        <v>1</v>
      </c>
      <c r="M97" s="320"/>
      <c r="N97" s="320"/>
      <c r="O97" s="321"/>
      <c r="P97" s="320"/>
      <c r="Q97" s="321"/>
      <c r="R97" s="320"/>
      <c r="S97" s="321">
        <v>1.5</v>
      </c>
      <c r="T97" s="320"/>
      <c r="U97" s="321"/>
      <c r="V97" s="320"/>
      <c r="W97" s="321"/>
      <c r="X97" s="320"/>
      <c r="Y97" s="302"/>
      <c r="Z97" s="302"/>
      <c r="AA97" s="293"/>
    </row>
    <row r="98" spans="1:27" s="276" customFormat="1" ht="21.75" customHeight="1" x14ac:dyDescent="0.2">
      <c r="A98" s="281" t="s">
        <v>3</v>
      </c>
      <c r="B98" s="281"/>
      <c r="C98" s="281"/>
      <c r="D98" s="281"/>
      <c r="E98" s="281"/>
      <c r="F98" s="281"/>
      <c r="G98" s="281"/>
      <c r="H98" s="326">
        <f>SUM(H74:H97)</f>
        <v>0</v>
      </c>
      <c r="I98" s="326">
        <f t="shared" ref="I98:X98" si="3">SUM(I74:I97)</f>
        <v>0</v>
      </c>
      <c r="J98" s="326">
        <f t="shared" si="3"/>
        <v>0</v>
      </c>
      <c r="K98" s="326">
        <f t="shared" si="3"/>
        <v>0</v>
      </c>
      <c r="L98" s="326">
        <f t="shared" si="3"/>
        <v>11</v>
      </c>
      <c r="M98" s="326">
        <f t="shared" si="3"/>
        <v>0.48333333333333334</v>
      </c>
      <c r="N98" s="326">
        <f t="shared" si="3"/>
        <v>0</v>
      </c>
      <c r="O98" s="326">
        <f t="shared" si="3"/>
        <v>0</v>
      </c>
      <c r="P98" s="326">
        <f t="shared" si="3"/>
        <v>0</v>
      </c>
      <c r="Q98" s="326">
        <f t="shared" si="3"/>
        <v>0</v>
      </c>
      <c r="R98" s="326">
        <f t="shared" si="3"/>
        <v>0</v>
      </c>
      <c r="S98" s="326">
        <f t="shared" si="3"/>
        <v>12</v>
      </c>
      <c r="T98" s="326">
        <f t="shared" si="3"/>
        <v>0</v>
      </c>
      <c r="U98" s="326">
        <f t="shared" si="3"/>
        <v>0</v>
      </c>
      <c r="V98" s="326">
        <f t="shared" si="3"/>
        <v>0</v>
      </c>
      <c r="W98" s="326">
        <f t="shared" si="3"/>
        <v>0</v>
      </c>
      <c r="X98" s="326">
        <f t="shared" si="3"/>
        <v>0</v>
      </c>
      <c r="Y98" s="296"/>
      <c r="Z98" s="296"/>
      <c r="AA98" s="281"/>
    </row>
    <row r="99" spans="1:27" s="276" customFormat="1" ht="21.75" customHeight="1" thickBot="1" x14ac:dyDescent="0.25">
      <c r="H99" s="327"/>
      <c r="I99" s="327"/>
      <c r="J99" s="327"/>
      <c r="K99" s="327"/>
      <c r="L99" s="328"/>
      <c r="M99" s="328"/>
      <c r="N99" s="328"/>
      <c r="O99" s="328"/>
      <c r="P99" s="328"/>
      <c r="Q99" s="328"/>
      <c r="R99" s="328"/>
      <c r="S99" s="328"/>
      <c r="T99" s="328"/>
      <c r="U99" s="328"/>
      <c r="V99" s="328"/>
      <c r="W99" s="328"/>
      <c r="X99" s="328"/>
      <c r="Y99" s="304"/>
      <c r="Z99" s="304"/>
    </row>
    <row r="100" spans="1:27" s="276" customFormat="1" ht="21.75" customHeight="1" thickBot="1" x14ac:dyDescent="0.25">
      <c r="A100" s="297" t="s">
        <v>169</v>
      </c>
      <c r="B100" s="285" t="s">
        <v>211</v>
      </c>
      <c r="C100" s="285"/>
      <c r="D100" s="285"/>
      <c r="E100" s="285"/>
      <c r="F100" s="285"/>
      <c r="G100" s="285"/>
      <c r="H100" s="369" t="s">
        <v>91</v>
      </c>
      <c r="I100" s="370"/>
      <c r="J100" s="370"/>
      <c r="K100" s="371"/>
      <c r="L100" s="372" t="s">
        <v>90</v>
      </c>
      <c r="M100" s="374" t="s">
        <v>157</v>
      </c>
      <c r="N100" s="374" t="s">
        <v>158</v>
      </c>
      <c r="O100" s="376" t="s">
        <v>159</v>
      </c>
      <c r="P100" s="377"/>
      <c r="Q100" s="378"/>
      <c r="R100" s="374" t="s">
        <v>160</v>
      </c>
      <c r="S100" s="376" t="s">
        <v>19</v>
      </c>
      <c r="T100" s="377"/>
      <c r="U100" s="378"/>
      <c r="V100" s="374" t="s">
        <v>124</v>
      </c>
      <c r="W100" s="374" t="s">
        <v>125</v>
      </c>
      <c r="X100" s="363" t="s">
        <v>105</v>
      </c>
      <c r="Y100" s="296" t="s">
        <v>161</v>
      </c>
      <c r="Z100" s="296"/>
      <c r="AA100" s="281" t="s">
        <v>162</v>
      </c>
    </row>
    <row r="101" spans="1:27" s="276" customFormat="1" ht="21.75" customHeight="1" thickBot="1" x14ac:dyDescent="0.25">
      <c r="A101" s="297" t="s">
        <v>171</v>
      </c>
      <c r="B101" s="285" t="s">
        <v>212</v>
      </c>
      <c r="C101" s="285"/>
      <c r="D101" s="285"/>
      <c r="E101" s="285"/>
      <c r="F101" s="285"/>
      <c r="G101" s="285"/>
      <c r="H101" s="282" t="s">
        <v>165</v>
      </c>
      <c r="I101" s="282" t="s">
        <v>93</v>
      </c>
      <c r="J101" s="282" t="s">
        <v>94</v>
      </c>
      <c r="K101" s="283" t="s">
        <v>166</v>
      </c>
      <c r="L101" s="373"/>
      <c r="M101" s="375"/>
      <c r="N101" s="375"/>
      <c r="O101" s="284" t="s">
        <v>167</v>
      </c>
      <c r="P101" s="284" t="s">
        <v>168</v>
      </c>
      <c r="Q101" s="315" t="s">
        <v>125</v>
      </c>
      <c r="R101" s="375"/>
      <c r="S101" s="284" t="s">
        <v>167</v>
      </c>
      <c r="T101" s="284" t="s">
        <v>168</v>
      </c>
      <c r="U101" s="315" t="s">
        <v>125</v>
      </c>
      <c r="V101" s="375"/>
      <c r="W101" s="375"/>
      <c r="X101" s="364"/>
      <c r="Y101" s="296" t="s">
        <v>163</v>
      </c>
      <c r="Z101" s="296" t="s">
        <v>164</v>
      </c>
      <c r="AA101" s="281"/>
    </row>
    <row r="102" spans="1:27" s="276" customFormat="1" ht="21.75" customHeight="1" x14ac:dyDescent="0.2">
      <c r="A102" s="293" t="s">
        <v>216</v>
      </c>
      <c r="B102" s="287">
        <v>0.23402777777777781</v>
      </c>
      <c r="C102" s="287">
        <v>0.60625000000000007</v>
      </c>
      <c r="D102" s="287">
        <v>0.23402777777777781</v>
      </c>
      <c r="E102" s="287">
        <v>0.60625000000000007</v>
      </c>
      <c r="F102" s="288">
        <v>0.22916666666666666</v>
      </c>
      <c r="G102" s="288">
        <v>0.60416666666666663</v>
      </c>
      <c r="H102" s="318"/>
      <c r="I102" s="318"/>
      <c r="J102" s="319"/>
      <c r="K102" s="318"/>
      <c r="L102" s="320">
        <v>1</v>
      </c>
      <c r="M102" s="320">
        <f>7/60</f>
        <v>0.11666666666666667</v>
      </c>
      <c r="N102" s="320"/>
      <c r="O102" s="321"/>
      <c r="P102" s="320"/>
      <c r="Q102" s="321"/>
      <c r="R102" s="320"/>
      <c r="S102" s="321"/>
      <c r="T102" s="320"/>
      <c r="U102" s="321"/>
      <c r="V102" s="320"/>
      <c r="W102" s="321"/>
      <c r="X102" s="320"/>
      <c r="Y102" s="298">
        <v>0.33333333333333331</v>
      </c>
      <c r="Z102" s="298">
        <v>0.70833333333333337</v>
      </c>
      <c r="AA102" s="293" t="s">
        <v>246</v>
      </c>
    </row>
    <row r="103" spans="1:27" s="276" customFormat="1" ht="21.75" customHeight="1" x14ac:dyDescent="0.2">
      <c r="A103" s="294" t="s">
        <v>218</v>
      </c>
      <c r="B103" s="286">
        <v>0.28750000000000003</v>
      </c>
      <c r="C103" s="286">
        <v>0.61041666666666672</v>
      </c>
      <c r="D103" s="307">
        <v>0.24583333333333335</v>
      </c>
      <c r="E103" s="286">
        <v>0.61041666666666672</v>
      </c>
      <c r="F103" s="307">
        <v>0.22916666666666666</v>
      </c>
      <c r="G103" s="307">
        <v>0.60416666666666663</v>
      </c>
      <c r="H103" s="322"/>
      <c r="I103" s="322"/>
      <c r="J103" s="323"/>
      <c r="K103" s="322"/>
      <c r="L103" s="324">
        <v>1</v>
      </c>
      <c r="M103" s="324">
        <f>14/60</f>
        <v>0.23333333333333334</v>
      </c>
      <c r="N103" s="324"/>
      <c r="O103" s="325"/>
      <c r="P103" s="324"/>
      <c r="Q103" s="325"/>
      <c r="R103" s="324"/>
      <c r="S103" s="325"/>
      <c r="T103" s="324"/>
      <c r="U103" s="325"/>
      <c r="V103" s="324"/>
      <c r="W103" s="325"/>
      <c r="X103" s="324"/>
      <c r="Y103" s="299">
        <v>0.33333333333333331</v>
      </c>
      <c r="Z103" s="299">
        <v>0.70833333333333337</v>
      </c>
      <c r="AA103" s="294" t="s">
        <v>184</v>
      </c>
    </row>
    <row r="104" spans="1:27" s="276" customFormat="1" ht="21.75" customHeight="1" x14ac:dyDescent="0.2">
      <c r="A104" s="293" t="s">
        <v>218</v>
      </c>
      <c r="B104" s="287">
        <v>0.61041666666666672</v>
      </c>
      <c r="C104" s="287">
        <v>0.62013888888888891</v>
      </c>
      <c r="D104" s="287">
        <v>0.61041666666666672</v>
      </c>
      <c r="E104" s="287">
        <v>0.62013888888888891</v>
      </c>
      <c r="F104" s="287">
        <v>0.33333333333333331</v>
      </c>
      <c r="G104" s="287">
        <v>0.70833333333333337</v>
      </c>
      <c r="H104" s="318"/>
      <c r="I104" s="318"/>
      <c r="J104" s="319"/>
      <c r="K104" s="318"/>
      <c r="L104" s="320"/>
      <c r="M104" s="320"/>
      <c r="N104" s="320"/>
      <c r="O104" s="321"/>
      <c r="P104" s="320"/>
      <c r="Q104" s="321"/>
      <c r="R104" s="320"/>
      <c r="S104" s="321"/>
      <c r="T104" s="320"/>
      <c r="U104" s="321"/>
      <c r="V104" s="320"/>
      <c r="W104" s="321"/>
      <c r="X104" s="320"/>
      <c r="Y104" s="298">
        <v>0.33333333333333331</v>
      </c>
      <c r="Z104" s="298">
        <v>0.70833333333333337</v>
      </c>
      <c r="AA104" s="293"/>
    </row>
    <row r="105" spans="1:27" s="276" customFormat="1" ht="21.75" customHeight="1" x14ac:dyDescent="0.2">
      <c r="A105" s="294" t="s">
        <v>219</v>
      </c>
      <c r="B105" s="289"/>
      <c r="C105" s="289"/>
      <c r="D105" s="290"/>
      <c r="E105" s="290"/>
      <c r="F105" s="366" t="s">
        <v>173</v>
      </c>
      <c r="G105" s="366"/>
      <c r="H105" s="322"/>
      <c r="I105" s="322"/>
      <c r="J105" s="323"/>
      <c r="K105" s="322"/>
      <c r="L105" s="324"/>
      <c r="M105" s="324"/>
      <c r="N105" s="324"/>
      <c r="O105" s="325"/>
      <c r="P105" s="324"/>
      <c r="Q105" s="325"/>
      <c r="R105" s="324"/>
      <c r="S105" s="325"/>
      <c r="T105" s="324"/>
      <c r="U105" s="325"/>
      <c r="V105" s="324"/>
      <c r="W105" s="325"/>
      <c r="X105" s="324"/>
      <c r="Y105" s="303"/>
      <c r="Z105" s="303"/>
      <c r="AA105" s="294"/>
    </row>
    <row r="106" spans="1:27" s="276" customFormat="1" ht="21.75" customHeight="1" x14ac:dyDescent="0.2">
      <c r="A106" s="293" t="s">
        <v>220</v>
      </c>
      <c r="B106" s="300"/>
      <c r="C106" s="300"/>
      <c r="D106" s="301"/>
      <c r="E106" s="301"/>
      <c r="F106" s="365" t="s">
        <v>173</v>
      </c>
      <c r="G106" s="365"/>
      <c r="H106" s="318"/>
      <c r="I106" s="318"/>
      <c r="J106" s="319"/>
      <c r="K106" s="318"/>
      <c r="L106" s="320"/>
      <c r="M106" s="320"/>
      <c r="N106" s="320"/>
      <c r="O106" s="321"/>
      <c r="P106" s="320"/>
      <c r="Q106" s="321"/>
      <c r="R106" s="320"/>
      <c r="S106" s="321"/>
      <c r="T106" s="320"/>
      <c r="U106" s="321"/>
      <c r="V106" s="320"/>
      <c r="W106" s="321"/>
      <c r="X106" s="320"/>
      <c r="Y106" s="302"/>
      <c r="Z106" s="302"/>
      <c r="AA106" s="293"/>
    </row>
    <row r="107" spans="1:27" s="276" customFormat="1" ht="21.75" customHeight="1" x14ac:dyDescent="0.2">
      <c r="A107" s="294" t="s">
        <v>222</v>
      </c>
      <c r="B107" s="286">
        <v>0.20972222222222223</v>
      </c>
      <c r="C107" s="286">
        <v>0.60763888888888895</v>
      </c>
      <c r="D107" s="286">
        <v>0.20972222222222223</v>
      </c>
      <c r="E107" s="286">
        <v>0.60763888888888895</v>
      </c>
      <c r="F107" s="307">
        <v>0.22916666666666666</v>
      </c>
      <c r="G107" s="307">
        <v>0.60416666666666663</v>
      </c>
      <c r="H107" s="322"/>
      <c r="I107" s="322"/>
      <c r="J107" s="323"/>
      <c r="K107" s="322"/>
      <c r="L107" s="324">
        <v>1</v>
      </c>
      <c r="M107" s="324"/>
      <c r="N107" s="324"/>
      <c r="O107" s="325"/>
      <c r="P107" s="324"/>
      <c r="Q107" s="325"/>
      <c r="R107" s="324"/>
      <c r="S107" s="325"/>
      <c r="T107" s="324"/>
      <c r="U107" s="325"/>
      <c r="V107" s="324"/>
      <c r="W107" s="325"/>
      <c r="X107" s="324"/>
      <c r="Y107" s="299">
        <v>0.33333333333333331</v>
      </c>
      <c r="Z107" s="299">
        <v>0.70833333333333337</v>
      </c>
      <c r="AA107" s="294"/>
    </row>
    <row r="108" spans="1:27" s="276" customFormat="1" ht="21.75" customHeight="1" x14ac:dyDescent="0.2">
      <c r="A108" s="293" t="s">
        <v>223</v>
      </c>
      <c r="B108" s="300"/>
      <c r="C108" s="300"/>
      <c r="D108" s="301"/>
      <c r="E108" s="301"/>
      <c r="F108" s="365" t="s">
        <v>224</v>
      </c>
      <c r="G108" s="365"/>
      <c r="H108" s="318"/>
      <c r="I108" s="318"/>
      <c r="J108" s="319"/>
      <c r="K108" s="318"/>
      <c r="L108" s="320"/>
      <c r="M108" s="320"/>
      <c r="N108" s="320"/>
      <c r="O108" s="321"/>
      <c r="P108" s="320"/>
      <c r="Q108" s="321"/>
      <c r="R108" s="320"/>
      <c r="S108" s="321"/>
      <c r="T108" s="320"/>
      <c r="U108" s="321"/>
      <c r="V108" s="320"/>
      <c r="W108" s="321"/>
      <c r="X108" s="320"/>
      <c r="Y108" s="302"/>
      <c r="Z108" s="302"/>
      <c r="AA108" s="293"/>
    </row>
    <row r="109" spans="1:27" s="276" customFormat="1" ht="21.75" customHeight="1" x14ac:dyDescent="0.2">
      <c r="A109" s="294" t="s">
        <v>225</v>
      </c>
      <c r="B109" s="289"/>
      <c r="C109" s="289"/>
      <c r="D109" s="290"/>
      <c r="E109" s="290"/>
      <c r="F109" s="366" t="s">
        <v>224</v>
      </c>
      <c r="G109" s="366"/>
      <c r="H109" s="322"/>
      <c r="I109" s="322"/>
      <c r="J109" s="323"/>
      <c r="K109" s="322"/>
      <c r="L109" s="324"/>
      <c r="M109" s="324"/>
      <c r="N109" s="324"/>
      <c r="O109" s="325"/>
      <c r="P109" s="324"/>
      <c r="Q109" s="325"/>
      <c r="R109" s="324"/>
      <c r="S109" s="325"/>
      <c r="T109" s="324"/>
      <c r="U109" s="325"/>
      <c r="V109" s="324"/>
      <c r="W109" s="325"/>
      <c r="X109" s="324"/>
      <c r="Y109" s="303"/>
      <c r="Z109" s="303"/>
      <c r="AA109" s="294"/>
    </row>
    <row r="110" spans="1:27" s="276" customFormat="1" ht="21.75" customHeight="1" x14ac:dyDescent="0.2">
      <c r="A110" s="293" t="s">
        <v>226</v>
      </c>
      <c r="B110" s="287">
        <v>0.26527777777777778</v>
      </c>
      <c r="C110" s="287">
        <v>0.63194444444444442</v>
      </c>
      <c r="D110" s="287">
        <v>0.26527777777777778</v>
      </c>
      <c r="E110" s="287">
        <v>0.63194444444444442</v>
      </c>
      <c r="F110" s="288">
        <v>0.22916666666666666</v>
      </c>
      <c r="G110" s="288">
        <v>0.63194444444444442</v>
      </c>
      <c r="H110" s="318"/>
      <c r="I110" s="318"/>
      <c r="J110" s="319"/>
      <c r="K110" s="318"/>
      <c r="L110" s="320">
        <v>1</v>
      </c>
      <c r="M110" s="320">
        <f>(52/60)</f>
        <v>0.8666666666666667</v>
      </c>
      <c r="N110" s="320"/>
      <c r="O110" s="321"/>
      <c r="P110" s="320"/>
      <c r="Q110" s="321"/>
      <c r="R110" s="320"/>
      <c r="S110" s="321"/>
      <c r="T110" s="320"/>
      <c r="U110" s="321"/>
      <c r="V110" s="320"/>
      <c r="W110" s="321"/>
      <c r="X110" s="320"/>
      <c r="Y110" s="298">
        <v>0.33333333333333331</v>
      </c>
      <c r="Z110" s="298">
        <v>0.70833333333333337</v>
      </c>
      <c r="AA110" s="293" t="s">
        <v>247</v>
      </c>
    </row>
    <row r="111" spans="1:27" s="276" customFormat="1" ht="21.75" customHeight="1" x14ac:dyDescent="0.2">
      <c r="A111" s="294" t="s">
        <v>228</v>
      </c>
      <c r="B111" s="286">
        <v>0.24930555555555556</v>
      </c>
      <c r="C111" s="286">
        <v>0.6166666666666667</v>
      </c>
      <c r="D111" s="286">
        <v>0.24930555555555556</v>
      </c>
      <c r="E111" s="286">
        <v>0.6166666666666667</v>
      </c>
      <c r="F111" s="307">
        <v>0.22916666666666666</v>
      </c>
      <c r="G111" s="307">
        <v>0.60416666666666663</v>
      </c>
      <c r="H111" s="322"/>
      <c r="I111" s="322"/>
      <c r="J111" s="323"/>
      <c r="K111" s="322"/>
      <c r="L111" s="324">
        <v>1</v>
      </c>
      <c r="M111" s="324">
        <f>29/60</f>
        <v>0.48333333333333334</v>
      </c>
      <c r="N111" s="324"/>
      <c r="O111" s="325"/>
      <c r="P111" s="324"/>
      <c r="Q111" s="325"/>
      <c r="R111" s="324"/>
      <c r="S111" s="325"/>
      <c r="T111" s="324"/>
      <c r="U111" s="325"/>
      <c r="V111" s="324"/>
      <c r="W111" s="325"/>
      <c r="X111" s="324"/>
      <c r="Y111" s="299">
        <v>0.33333333333333331</v>
      </c>
      <c r="Z111" s="299">
        <v>0.70833333333333337</v>
      </c>
      <c r="AA111" s="294" t="s">
        <v>245</v>
      </c>
    </row>
    <row r="112" spans="1:27" s="276" customFormat="1" ht="21.75" customHeight="1" x14ac:dyDescent="0.2">
      <c r="A112" s="293" t="s">
        <v>229</v>
      </c>
      <c r="B112" s="300"/>
      <c r="C112" s="300"/>
      <c r="D112" s="301"/>
      <c r="E112" s="301"/>
      <c r="F112" s="365" t="s">
        <v>173</v>
      </c>
      <c r="G112" s="365"/>
      <c r="H112" s="318"/>
      <c r="I112" s="318"/>
      <c r="J112" s="319"/>
      <c r="K112" s="318"/>
      <c r="L112" s="320"/>
      <c r="M112" s="320"/>
      <c r="N112" s="320"/>
      <c r="O112" s="321"/>
      <c r="P112" s="320"/>
      <c r="Q112" s="321"/>
      <c r="R112" s="320"/>
      <c r="S112" s="321"/>
      <c r="T112" s="320"/>
      <c r="U112" s="321"/>
      <c r="V112" s="320"/>
      <c r="W112" s="321"/>
      <c r="X112" s="320"/>
      <c r="Y112" s="302"/>
      <c r="Z112" s="302"/>
      <c r="AA112" s="293"/>
    </row>
    <row r="113" spans="1:27" s="276" customFormat="1" ht="21.75" customHeight="1" x14ac:dyDescent="0.2">
      <c r="A113" s="294" t="s">
        <v>231</v>
      </c>
      <c r="B113" s="289"/>
      <c r="C113" s="289"/>
      <c r="D113" s="290"/>
      <c r="E113" s="290"/>
      <c r="F113" s="366" t="s">
        <v>173</v>
      </c>
      <c r="G113" s="366"/>
      <c r="H113" s="322"/>
      <c r="I113" s="322"/>
      <c r="J113" s="323"/>
      <c r="K113" s="322"/>
      <c r="L113" s="324"/>
      <c r="M113" s="324"/>
      <c r="N113" s="324"/>
      <c r="O113" s="325"/>
      <c r="P113" s="324"/>
      <c r="Q113" s="325"/>
      <c r="R113" s="324"/>
      <c r="S113" s="325"/>
      <c r="T113" s="324"/>
      <c r="U113" s="325"/>
      <c r="V113" s="324"/>
      <c r="W113" s="325"/>
      <c r="X113" s="324"/>
      <c r="Y113" s="303"/>
      <c r="Z113" s="303"/>
      <c r="AA113" s="294"/>
    </row>
    <row r="114" spans="1:27" s="276" customFormat="1" ht="21.75" customHeight="1" x14ac:dyDescent="0.2">
      <c r="A114" s="293" t="s">
        <v>232</v>
      </c>
      <c r="B114" s="287">
        <v>0.23611111111111113</v>
      </c>
      <c r="C114" s="287">
        <v>0.60555555555555551</v>
      </c>
      <c r="D114" s="287">
        <v>0.23611111111111113</v>
      </c>
      <c r="E114" s="287">
        <v>0.60555555555555551</v>
      </c>
      <c r="F114" s="288">
        <v>0.22916666666666666</v>
      </c>
      <c r="G114" s="288">
        <v>0.60416666666666663</v>
      </c>
      <c r="H114" s="318"/>
      <c r="I114" s="318"/>
      <c r="J114" s="319"/>
      <c r="K114" s="318"/>
      <c r="L114" s="320">
        <v>1</v>
      </c>
      <c r="M114" s="320">
        <f>10/60</f>
        <v>0.16666666666666666</v>
      </c>
      <c r="N114" s="320"/>
      <c r="O114" s="321"/>
      <c r="P114" s="320"/>
      <c r="Q114" s="321"/>
      <c r="R114" s="320"/>
      <c r="S114" s="321"/>
      <c r="T114" s="320"/>
      <c r="U114" s="321"/>
      <c r="V114" s="320"/>
      <c r="W114" s="321"/>
      <c r="X114" s="320"/>
      <c r="Y114" s="298">
        <v>0.33333333333333331</v>
      </c>
      <c r="Z114" s="298">
        <v>0.70833333333333337</v>
      </c>
      <c r="AA114" s="293" t="s">
        <v>183</v>
      </c>
    </row>
    <row r="115" spans="1:27" s="276" customFormat="1" ht="21.75" customHeight="1" x14ac:dyDescent="0.2">
      <c r="A115" s="294" t="s">
        <v>233</v>
      </c>
      <c r="B115" s="286">
        <v>0.23055555555555554</v>
      </c>
      <c r="C115" s="286">
        <v>0.61319444444444449</v>
      </c>
      <c r="D115" s="286">
        <v>0.23055555555555554</v>
      </c>
      <c r="E115" s="286">
        <v>0.61319444444444449</v>
      </c>
      <c r="F115" s="381" t="s">
        <v>235</v>
      </c>
      <c r="G115" s="381"/>
      <c r="H115" s="322"/>
      <c r="I115" s="322"/>
      <c r="J115" s="323"/>
      <c r="K115" s="322"/>
      <c r="L115" s="324">
        <v>1</v>
      </c>
      <c r="M115" s="324"/>
      <c r="N115" s="324"/>
      <c r="O115" s="325"/>
      <c r="P115" s="324"/>
      <c r="Q115" s="325"/>
      <c r="R115" s="324"/>
      <c r="S115" s="325"/>
      <c r="T115" s="324"/>
      <c r="U115" s="325"/>
      <c r="V115" s="324"/>
      <c r="W115" s="325"/>
      <c r="X115" s="324"/>
      <c r="Y115" s="299">
        <v>0.33333333333333331</v>
      </c>
      <c r="Z115" s="299">
        <v>0.70833333333333337</v>
      </c>
      <c r="AA115" s="294"/>
    </row>
    <row r="116" spans="1:27" s="276" customFormat="1" ht="21.75" customHeight="1" x14ac:dyDescent="0.2">
      <c r="A116" s="293" t="s">
        <v>234</v>
      </c>
      <c r="B116" s="300"/>
      <c r="C116" s="300"/>
      <c r="D116" s="301"/>
      <c r="E116" s="301"/>
      <c r="F116" s="365" t="s">
        <v>248</v>
      </c>
      <c r="G116" s="365"/>
      <c r="H116" s="318"/>
      <c r="I116" s="318"/>
      <c r="J116" s="319"/>
      <c r="K116" s="318"/>
      <c r="L116" s="320">
        <v>1</v>
      </c>
      <c r="M116" s="320"/>
      <c r="N116" s="320"/>
      <c r="O116" s="321"/>
      <c r="P116" s="320"/>
      <c r="Q116" s="321"/>
      <c r="R116" s="320"/>
      <c r="S116" s="321"/>
      <c r="T116" s="320"/>
      <c r="U116" s="321"/>
      <c r="V116" s="320"/>
      <c r="W116" s="321"/>
      <c r="X116" s="320"/>
      <c r="Y116" s="302"/>
      <c r="Z116" s="302"/>
      <c r="AA116" s="293"/>
    </row>
    <row r="117" spans="1:27" s="276" customFormat="1" ht="21.75" customHeight="1" x14ac:dyDescent="0.2">
      <c r="A117" s="294" t="s">
        <v>236</v>
      </c>
      <c r="B117" s="289"/>
      <c r="C117" s="289"/>
      <c r="D117" s="290"/>
      <c r="E117" s="290"/>
      <c r="F117" s="381" t="s">
        <v>235</v>
      </c>
      <c r="G117" s="381"/>
      <c r="H117" s="322"/>
      <c r="I117" s="322"/>
      <c r="J117" s="323"/>
      <c r="K117" s="322"/>
      <c r="L117" s="324">
        <v>1</v>
      </c>
      <c r="M117" s="324"/>
      <c r="N117" s="324"/>
      <c r="O117" s="325"/>
      <c r="P117" s="324"/>
      <c r="Q117" s="325"/>
      <c r="R117" s="324"/>
      <c r="S117" s="325"/>
      <c r="T117" s="324"/>
      <c r="U117" s="325"/>
      <c r="V117" s="324"/>
      <c r="W117" s="325"/>
      <c r="X117" s="324"/>
      <c r="Y117" s="303"/>
      <c r="Z117" s="303"/>
      <c r="AA117" s="294"/>
    </row>
    <row r="118" spans="1:27" s="276" customFormat="1" ht="21.75" customHeight="1" x14ac:dyDescent="0.2">
      <c r="A118" s="293" t="s">
        <v>237</v>
      </c>
      <c r="B118" s="300"/>
      <c r="C118" s="300"/>
      <c r="D118" s="301"/>
      <c r="E118" s="301"/>
      <c r="F118" s="365" t="s">
        <v>248</v>
      </c>
      <c r="G118" s="365"/>
      <c r="H118" s="318"/>
      <c r="I118" s="318"/>
      <c r="J118" s="319"/>
      <c r="K118" s="318"/>
      <c r="L118" s="320">
        <v>1</v>
      </c>
      <c r="M118" s="320"/>
      <c r="N118" s="320"/>
      <c r="O118" s="321"/>
      <c r="P118" s="320"/>
      <c r="Q118" s="321"/>
      <c r="R118" s="320"/>
      <c r="S118" s="321"/>
      <c r="T118" s="320"/>
      <c r="U118" s="321"/>
      <c r="V118" s="320"/>
      <c r="W118" s="321"/>
      <c r="X118" s="320"/>
      <c r="Y118" s="302"/>
      <c r="Z118" s="302"/>
      <c r="AA118" s="293"/>
    </row>
    <row r="119" spans="1:27" s="276" customFormat="1" ht="21.75" customHeight="1" x14ac:dyDescent="0.2">
      <c r="A119" s="281" t="s">
        <v>3</v>
      </c>
      <c r="B119" s="281"/>
      <c r="C119" s="281"/>
      <c r="D119" s="281"/>
      <c r="E119" s="281"/>
      <c r="F119" s="281"/>
      <c r="G119" s="281"/>
      <c r="H119" s="326">
        <f>SUM(H101:H118)</f>
        <v>0</v>
      </c>
      <c r="I119" s="326">
        <f t="shared" ref="I119:X119" si="4">SUM(I101:I118)</f>
        <v>0</v>
      </c>
      <c r="J119" s="326">
        <f t="shared" si="4"/>
        <v>0</v>
      </c>
      <c r="K119" s="326">
        <f t="shared" si="4"/>
        <v>0</v>
      </c>
      <c r="L119" s="326">
        <f t="shared" si="4"/>
        <v>10</v>
      </c>
      <c r="M119" s="326">
        <f t="shared" si="4"/>
        <v>1.8666666666666669</v>
      </c>
      <c r="N119" s="326">
        <f t="shared" si="4"/>
        <v>0</v>
      </c>
      <c r="O119" s="326">
        <f t="shared" si="4"/>
        <v>0</v>
      </c>
      <c r="P119" s="326">
        <f t="shared" si="4"/>
        <v>0</v>
      </c>
      <c r="Q119" s="326">
        <f t="shared" si="4"/>
        <v>0</v>
      </c>
      <c r="R119" s="326">
        <f t="shared" si="4"/>
        <v>0</v>
      </c>
      <c r="S119" s="326">
        <f t="shared" si="4"/>
        <v>0</v>
      </c>
      <c r="T119" s="326">
        <f t="shared" si="4"/>
        <v>0</v>
      </c>
      <c r="U119" s="326">
        <f t="shared" si="4"/>
        <v>0</v>
      </c>
      <c r="V119" s="326">
        <f t="shared" si="4"/>
        <v>0</v>
      </c>
      <c r="W119" s="326">
        <f t="shared" si="4"/>
        <v>0</v>
      </c>
      <c r="X119" s="326">
        <f t="shared" si="4"/>
        <v>0</v>
      </c>
      <c r="Y119" s="296"/>
      <c r="Z119" s="296"/>
      <c r="AA119" s="281"/>
    </row>
    <row r="120" spans="1:27" s="276" customFormat="1" ht="21.75" customHeight="1" thickBot="1" x14ac:dyDescent="0.25">
      <c r="H120" s="327"/>
      <c r="I120" s="327"/>
      <c r="J120" s="327"/>
      <c r="K120" s="327"/>
      <c r="L120" s="328"/>
      <c r="M120" s="328"/>
      <c r="N120" s="328"/>
      <c r="O120" s="328"/>
      <c r="P120" s="328"/>
      <c r="Q120" s="328"/>
      <c r="R120" s="328"/>
      <c r="S120" s="328"/>
      <c r="T120" s="328"/>
      <c r="U120" s="328"/>
      <c r="V120" s="328"/>
      <c r="W120" s="328"/>
      <c r="X120" s="328"/>
      <c r="Y120" s="304"/>
      <c r="Z120" s="304"/>
    </row>
    <row r="121" spans="1:27" s="276" customFormat="1" ht="21.75" customHeight="1" thickBot="1" x14ac:dyDescent="0.25">
      <c r="A121" s="297" t="s">
        <v>169</v>
      </c>
      <c r="B121" s="285" t="s">
        <v>185</v>
      </c>
      <c r="C121" s="285"/>
      <c r="D121" s="285"/>
      <c r="E121" s="285"/>
      <c r="F121" s="285"/>
      <c r="G121" s="285"/>
      <c r="H121" s="369" t="s">
        <v>91</v>
      </c>
      <c r="I121" s="370"/>
      <c r="J121" s="370"/>
      <c r="K121" s="371"/>
      <c r="L121" s="372" t="s">
        <v>90</v>
      </c>
      <c r="M121" s="374" t="s">
        <v>157</v>
      </c>
      <c r="N121" s="374" t="s">
        <v>158</v>
      </c>
      <c r="O121" s="376" t="s">
        <v>159</v>
      </c>
      <c r="P121" s="377"/>
      <c r="Q121" s="378"/>
      <c r="R121" s="374" t="s">
        <v>160</v>
      </c>
      <c r="S121" s="376" t="s">
        <v>19</v>
      </c>
      <c r="T121" s="377"/>
      <c r="U121" s="378"/>
      <c r="V121" s="374" t="s">
        <v>124</v>
      </c>
      <c r="W121" s="374" t="s">
        <v>125</v>
      </c>
      <c r="X121" s="363" t="s">
        <v>105</v>
      </c>
      <c r="Y121" s="296" t="s">
        <v>161</v>
      </c>
      <c r="Z121" s="296"/>
      <c r="AA121" s="281" t="s">
        <v>162</v>
      </c>
    </row>
    <row r="122" spans="1:27" s="276" customFormat="1" ht="21.75" customHeight="1" thickBot="1" x14ac:dyDescent="0.25">
      <c r="A122" s="297" t="s">
        <v>171</v>
      </c>
      <c r="B122" s="285" t="s">
        <v>186</v>
      </c>
      <c r="C122" s="285"/>
      <c r="D122" s="285"/>
      <c r="E122" s="285"/>
      <c r="F122" s="285"/>
      <c r="G122" s="285"/>
      <c r="H122" s="282" t="s">
        <v>165</v>
      </c>
      <c r="I122" s="282" t="s">
        <v>93</v>
      </c>
      <c r="J122" s="282" t="s">
        <v>94</v>
      </c>
      <c r="K122" s="283" t="s">
        <v>166</v>
      </c>
      <c r="L122" s="373"/>
      <c r="M122" s="375"/>
      <c r="N122" s="375"/>
      <c r="O122" s="284" t="s">
        <v>167</v>
      </c>
      <c r="P122" s="284" t="s">
        <v>168</v>
      </c>
      <c r="Q122" s="315" t="s">
        <v>125</v>
      </c>
      <c r="R122" s="375"/>
      <c r="S122" s="284" t="s">
        <v>167</v>
      </c>
      <c r="T122" s="284" t="s">
        <v>168</v>
      </c>
      <c r="U122" s="315" t="s">
        <v>125</v>
      </c>
      <c r="V122" s="375"/>
      <c r="W122" s="375"/>
      <c r="X122" s="364"/>
      <c r="Y122" s="296" t="s">
        <v>163</v>
      </c>
      <c r="Z122" s="296" t="s">
        <v>164</v>
      </c>
      <c r="AA122" s="281"/>
    </row>
    <row r="123" spans="1:27" s="276" customFormat="1" ht="21.75" customHeight="1" x14ac:dyDescent="0.2">
      <c r="A123" s="293" t="s">
        <v>216</v>
      </c>
      <c r="B123" s="287">
        <v>0.45694444444444443</v>
      </c>
      <c r="C123" s="287">
        <v>0.62916666666666665</v>
      </c>
      <c r="D123" s="287">
        <v>0.45694444444444443</v>
      </c>
      <c r="E123" s="287">
        <v>0.62916666666666665</v>
      </c>
      <c r="F123" s="288">
        <v>0.47916666666666669</v>
      </c>
      <c r="G123" s="288">
        <v>0.62916666666666665</v>
      </c>
      <c r="H123" s="318"/>
      <c r="I123" s="318"/>
      <c r="J123" s="319"/>
      <c r="K123" s="318"/>
      <c r="L123" s="320"/>
      <c r="M123" s="320"/>
      <c r="N123" s="320"/>
      <c r="O123" s="321"/>
      <c r="P123" s="320"/>
      <c r="Q123" s="321"/>
      <c r="R123" s="320"/>
      <c r="S123" s="321"/>
      <c r="T123" s="320"/>
      <c r="U123" s="321"/>
      <c r="V123" s="320"/>
      <c r="W123" s="321"/>
      <c r="X123" s="320"/>
      <c r="Y123" s="298">
        <v>0.33333333333333331</v>
      </c>
      <c r="Z123" s="298">
        <v>0.70833333333333337</v>
      </c>
      <c r="AA123" s="293"/>
    </row>
    <row r="124" spans="1:27" s="276" customFormat="1" ht="21.75" customHeight="1" x14ac:dyDescent="0.2">
      <c r="A124" s="294" t="s">
        <v>216</v>
      </c>
      <c r="B124" s="286">
        <v>0.7416666666666667</v>
      </c>
      <c r="C124" s="286">
        <v>0.97986111111111107</v>
      </c>
      <c r="D124" s="286">
        <v>0.7416666666666667</v>
      </c>
      <c r="E124" s="286">
        <v>0.97986111111111107</v>
      </c>
      <c r="F124" s="307">
        <v>0.79583333333333339</v>
      </c>
      <c r="G124" s="307">
        <v>0.97916666666666663</v>
      </c>
      <c r="H124" s="322"/>
      <c r="I124" s="322"/>
      <c r="J124" s="323"/>
      <c r="K124" s="322"/>
      <c r="L124" s="324">
        <v>1</v>
      </c>
      <c r="M124" s="324"/>
      <c r="N124" s="324"/>
      <c r="O124" s="325"/>
      <c r="P124" s="324"/>
      <c r="Q124" s="325"/>
      <c r="R124" s="324"/>
      <c r="S124" s="325">
        <v>1.5</v>
      </c>
      <c r="T124" s="324"/>
      <c r="U124" s="325"/>
      <c r="V124" s="324"/>
      <c r="W124" s="325"/>
      <c r="X124" s="324"/>
      <c r="Y124" s="299">
        <v>0.33333333333333331</v>
      </c>
      <c r="Z124" s="299">
        <v>0.70833333333333337</v>
      </c>
      <c r="AA124" s="294"/>
    </row>
    <row r="125" spans="1:27" s="276" customFormat="1" ht="21.75" customHeight="1" x14ac:dyDescent="0.2">
      <c r="A125" s="293" t="s">
        <v>218</v>
      </c>
      <c r="B125" s="287">
        <v>0.4597222222222222</v>
      </c>
      <c r="C125" s="287">
        <v>0.62847222222222221</v>
      </c>
      <c r="D125" s="287">
        <v>0.4597222222222222</v>
      </c>
      <c r="E125" s="287">
        <v>0.62847222222222221</v>
      </c>
      <c r="F125" s="288">
        <v>0.47916666666666669</v>
      </c>
      <c r="G125" s="288">
        <v>0.62847222222222221</v>
      </c>
      <c r="H125" s="318"/>
      <c r="I125" s="318"/>
      <c r="J125" s="319"/>
      <c r="K125" s="318"/>
      <c r="L125" s="320"/>
      <c r="M125" s="320"/>
      <c r="N125" s="320"/>
      <c r="O125" s="321"/>
      <c r="P125" s="320"/>
      <c r="Q125" s="321"/>
      <c r="R125" s="320"/>
      <c r="S125" s="321"/>
      <c r="T125" s="320"/>
      <c r="U125" s="321"/>
      <c r="V125" s="320"/>
      <c r="W125" s="321"/>
      <c r="X125" s="320"/>
      <c r="Y125" s="298">
        <v>0.33333333333333331</v>
      </c>
      <c r="Z125" s="298">
        <v>0.70833333333333337</v>
      </c>
      <c r="AA125" s="293"/>
    </row>
    <row r="126" spans="1:27" s="276" customFormat="1" ht="21.75" customHeight="1" x14ac:dyDescent="0.2">
      <c r="A126" s="294" t="s">
        <v>218</v>
      </c>
      <c r="B126" s="286">
        <v>0.74513888888888891</v>
      </c>
      <c r="C126" s="286">
        <v>0.98055555555555562</v>
      </c>
      <c r="D126" s="286">
        <v>0.74513888888888891</v>
      </c>
      <c r="E126" s="286">
        <v>0.98055555555555562</v>
      </c>
      <c r="F126" s="307">
        <v>0.79513888888888884</v>
      </c>
      <c r="G126" s="307">
        <v>0.97916666666666663</v>
      </c>
      <c r="H126" s="322"/>
      <c r="I126" s="322"/>
      <c r="J126" s="323"/>
      <c r="K126" s="322"/>
      <c r="L126" s="324">
        <v>1</v>
      </c>
      <c r="M126" s="324"/>
      <c r="N126" s="324"/>
      <c r="O126" s="325"/>
      <c r="P126" s="324"/>
      <c r="Q126" s="325"/>
      <c r="R126" s="324"/>
      <c r="S126" s="325">
        <v>1.5</v>
      </c>
      <c r="T126" s="324"/>
      <c r="U126" s="325"/>
      <c r="V126" s="324"/>
      <c r="W126" s="325"/>
      <c r="X126" s="324"/>
      <c r="Y126" s="299">
        <v>0.33333333333333331</v>
      </c>
      <c r="Z126" s="299">
        <v>0.70833333333333337</v>
      </c>
      <c r="AA126" s="294"/>
    </row>
    <row r="127" spans="1:27" s="276" customFormat="1" ht="21.75" customHeight="1" x14ac:dyDescent="0.2">
      <c r="A127" s="293" t="s">
        <v>219</v>
      </c>
      <c r="B127" s="287">
        <v>0.4458333333333333</v>
      </c>
      <c r="C127" s="287">
        <v>0.625</v>
      </c>
      <c r="D127" s="287">
        <v>0.4458333333333333</v>
      </c>
      <c r="E127" s="287">
        <v>0.625</v>
      </c>
      <c r="F127" s="288">
        <v>0.45833333333333331</v>
      </c>
      <c r="G127" s="288">
        <v>0.625</v>
      </c>
      <c r="H127" s="318"/>
      <c r="I127" s="318"/>
      <c r="J127" s="319"/>
      <c r="K127" s="318"/>
      <c r="L127" s="320"/>
      <c r="M127" s="320"/>
      <c r="N127" s="320"/>
      <c r="O127" s="321"/>
      <c r="P127" s="320"/>
      <c r="Q127" s="321"/>
      <c r="R127" s="320"/>
      <c r="S127" s="321"/>
      <c r="T127" s="320"/>
      <c r="U127" s="321"/>
      <c r="V127" s="320"/>
      <c r="W127" s="321"/>
      <c r="X127" s="320"/>
      <c r="Y127" s="298">
        <v>0.33333333333333331</v>
      </c>
      <c r="Z127" s="298">
        <v>0.70833333333333337</v>
      </c>
      <c r="AA127" s="293"/>
    </row>
    <row r="128" spans="1:27" s="276" customFormat="1" ht="21.75" customHeight="1" x14ac:dyDescent="0.2">
      <c r="A128" s="294" t="s">
        <v>219</v>
      </c>
      <c r="B128" s="286">
        <v>0.65833333333333333</v>
      </c>
      <c r="C128" s="286">
        <v>0.87569444444444444</v>
      </c>
      <c r="D128" s="286">
        <v>0.65833333333333333</v>
      </c>
      <c r="E128" s="286">
        <v>0.87569444444444444</v>
      </c>
      <c r="F128" s="307">
        <v>0.66666666666666663</v>
      </c>
      <c r="G128" s="307">
        <v>0.875</v>
      </c>
      <c r="H128" s="322"/>
      <c r="I128" s="322"/>
      <c r="J128" s="323"/>
      <c r="K128" s="322"/>
      <c r="L128" s="324">
        <v>1</v>
      </c>
      <c r="M128" s="324"/>
      <c r="N128" s="324"/>
      <c r="O128" s="325"/>
      <c r="P128" s="324"/>
      <c r="Q128" s="325"/>
      <c r="R128" s="324"/>
      <c r="S128" s="325"/>
      <c r="T128" s="324"/>
      <c r="U128" s="325"/>
      <c r="V128" s="324"/>
      <c r="W128" s="325"/>
      <c r="X128" s="324"/>
      <c r="Y128" s="299">
        <v>0.33333333333333331</v>
      </c>
      <c r="Z128" s="299">
        <v>0.70833333333333337</v>
      </c>
      <c r="AA128" s="294"/>
    </row>
    <row r="129" spans="1:27" s="276" customFormat="1" ht="21.75" customHeight="1" x14ac:dyDescent="0.2">
      <c r="A129" s="293" t="s">
        <v>220</v>
      </c>
      <c r="B129" s="300"/>
      <c r="C129" s="300"/>
      <c r="D129" s="301"/>
      <c r="E129" s="301"/>
      <c r="F129" s="365" t="s">
        <v>173</v>
      </c>
      <c r="G129" s="365"/>
      <c r="H129" s="318"/>
      <c r="I129" s="318"/>
      <c r="J129" s="319"/>
      <c r="K129" s="318"/>
      <c r="L129" s="320"/>
      <c r="M129" s="320"/>
      <c r="N129" s="320"/>
      <c r="O129" s="321"/>
      <c r="P129" s="320"/>
      <c r="Q129" s="321"/>
      <c r="R129" s="320"/>
      <c r="S129" s="321"/>
      <c r="T129" s="320"/>
      <c r="U129" s="321"/>
      <c r="V129" s="320"/>
      <c r="W129" s="321"/>
      <c r="X129" s="320"/>
      <c r="Y129" s="302"/>
      <c r="Z129" s="302"/>
      <c r="AA129" s="293"/>
    </row>
    <row r="130" spans="1:27" s="276" customFormat="1" ht="21.75" customHeight="1" x14ac:dyDescent="0.2">
      <c r="A130" s="293" t="s">
        <v>222</v>
      </c>
      <c r="B130" s="287">
        <v>0.4604166666666667</v>
      </c>
      <c r="C130" s="287">
        <v>0.625</v>
      </c>
      <c r="D130" s="287">
        <v>0.4604166666666667</v>
      </c>
      <c r="E130" s="287">
        <v>0.625</v>
      </c>
      <c r="F130" s="288">
        <v>0.47916666666666669</v>
      </c>
      <c r="G130" s="288">
        <v>0.625</v>
      </c>
      <c r="H130" s="318"/>
      <c r="I130" s="318"/>
      <c r="J130" s="319"/>
      <c r="K130" s="318"/>
      <c r="L130" s="320"/>
      <c r="M130" s="320"/>
      <c r="N130" s="320"/>
      <c r="O130" s="321"/>
      <c r="P130" s="320"/>
      <c r="Q130" s="321"/>
      <c r="R130" s="320"/>
      <c r="S130" s="321"/>
      <c r="T130" s="320"/>
      <c r="U130" s="321"/>
      <c r="V130" s="320"/>
      <c r="W130" s="321"/>
      <c r="X130" s="320"/>
      <c r="Y130" s="298">
        <v>0.33333333333333331</v>
      </c>
      <c r="Z130" s="298">
        <v>0.70833333333333337</v>
      </c>
      <c r="AA130" s="293"/>
    </row>
    <row r="131" spans="1:27" s="276" customFormat="1" ht="21.75" customHeight="1" x14ac:dyDescent="0.2">
      <c r="A131" s="294" t="s">
        <v>222</v>
      </c>
      <c r="B131" s="286">
        <v>0.73749999999999993</v>
      </c>
      <c r="C131" s="286">
        <v>0.97916666666666663</v>
      </c>
      <c r="D131" s="286">
        <v>0.73749999999999993</v>
      </c>
      <c r="E131" s="307">
        <v>0.97916666666666663</v>
      </c>
      <c r="F131" s="307">
        <v>0.79166666666666663</v>
      </c>
      <c r="G131" s="307">
        <v>0.97916666666666663</v>
      </c>
      <c r="H131" s="322"/>
      <c r="I131" s="322"/>
      <c r="J131" s="323"/>
      <c r="K131" s="322"/>
      <c r="L131" s="324">
        <v>1</v>
      </c>
      <c r="M131" s="324"/>
      <c r="N131" s="324"/>
      <c r="O131" s="325"/>
      <c r="P131" s="324"/>
      <c r="Q131" s="325"/>
      <c r="R131" s="324"/>
      <c r="S131" s="325">
        <v>1.5</v>
      </c>
      <c r="T131" s="324"/>
      <c r="U131" s="325"/>
      <c r="V131" s="324"/>
      <c r="W131" s="325"/>
      <c r="X131" s="324"/>
      <c r="Y131" s="299">
        <v>0.33333333333333331</v>
      </c>
      <c r="Z131" s="299">
        <v>0.70833333333333337</v>
      </c>
      <c r="AA131" s="294" t="s">
        <v>208</v>
      </c>
    </row>
    <row r="132" spans="1:27" s="276" customFormat="1" ht="21.75" customHeight="1" x14ac:dyDescent="0.2">
      <c r="A132" s="294" t="s">
        <v>223</v>
      </c>
      <c r="B132" s="289"/>
      <c r="C132" s="289"/>
      <c r="D132" s="290"/>
      <c r="E132" s="290"/>
      <c r="F132" s="365" t="s">
        <v>224</v>
      </c>
      <c r="G132" s="365"/>
      <c r="H132" s="322"/>
      <c r="I132" s="322"/>
      <c r="J132" s="323"/>
      <c r="K132" s="322"/>
      <c r="L132" s="324"/>
      <c r="M132" s="324"/>
      <c r="N132" s="324"/>
      <c r="O132" s="325"/>
      <c r="P132" s="324"/>
      <c r="Q132" s="325"/>
      <c r="R132" s="324"/>
      <c r="S132" s="325"/>
      <c r="T132" s="324"/>
      <c r="U132" s="325"/>
      <c r="V132" s="324"/>
      <c r="W132" s="325"/>
      <c r="X132" s="324"/>
      <c r="Y132" s="303"/>
      <c r="Z132" s="303"/>
      <c r="AA132" s="294"/>
    </row>
    <row r="133" spans="1:27" s="276" customFormat="1" ht="21.75" customHeight="1" x14ac:dyDescent="0.2">
      <c r="A133" s="293" t="s">
        <v>225</v>
      </c>
      <c r="B133" s="300"/>
      <c r="C133" s="300"/>
      <c r="D133" s="301"/>
      <c r="E133" s="301"/>
      <c r="F133" s="366" t="s">
        <v>224</v>
      </c>
      <c r="G133" s="366"/>
      <c r="H133" s="318"/>
      <c r="I133" s="318"/>
      <c r="J133" s="319"/>
      <c r="K133" s="318"/>
      <c r="L133" s="320"/>
      <c r="M133" s="320"/>
      <c r="N133" s="320"/>
      <c r="O133" s="321"/>
      <c r="P133" s="320"/>
      <c r="Q133" s="321"/>
      <c r="R133" s="320"/>
      <c r="S133" s="321"/>
      <c r="T133" s="320"/>
      <c r="U133" s="321"/>
      <c r="V133" s="320"/>
      <c r="W133" s="321"/>
      <c r="X133" s="320"/>
      <c r="Y133" s="302"/>
      <c r="Z133" s="302"/>
      <c r="AA133" s="293"/>
    </row>
    <row r="134" spans="1:27" s="276" customFormat="1" ht="21.75" customHeight="1" x14ac:dyDescent="0.2">
      <c r="A134" s="294" t="s">
        <v>226</v>
      </c>
      <c r="B134" s="286">
        <v>0.35069444444444442</v>
      </c>
      <c r="C134" s="286">
        <v>0.58750000000000002</v>
      </c>
      <c r="D134" s="286">
        <v>0.35069444444444442</v>
      </c>
      <c r="E134" s="286">
        <v>0.58750000000000002</v>
      </c>
      <c r="F134" s="307">
        <v>0.375</v>
      </c>
      <c r="G134" s="307">
        <v>0.58750000000000002</v>
      </c>
      <c r="H134" s="322"/>
      <c r="I134" s="322"/>
      <c r="J134" s="323"/>
      <c r="K134" s="322"/>
      <c r="L134" s="324"/>
      <c r="M134" s="324"/>
      <c r="N134" s="324"/>
      <c r="O134" s="325"/>
      <c r="P134" s="324"/>
      <c r="Q134" s="325"/>
      <c r="R134" s="324"/>
      <c r="S134" s="325"/>
      <c r="T134" s="324"/>
      <c r="U134" s="325"/>
      <c r="V134" s="324"/>
      <c r="W134" s="325"/>
      <c r="X134" s="324"/>
      <c r="Y134" s="299">
        <v>0.33333333333333331</v>
      </c>
      <c r="Z134" s="299">
        <v>0.70833333333333337</v>
      </c>
      <c r="AA134" s="294"/>
    </row>
    <row r="135" spans="1:27" s="276" customFormat="1" ht="21.75" customHeight="1" x14ac:dyDescent="0.2">
      <c r="A135" s="293" t="s">
        <v>226</v>
      </c>
      <c r="B135" s="287">
        <v>0.62638888888888888</v>
      </c>
      <c r="C135" s="287">
        <v>0.75694444444444453</v>
      </c>
      <c r="D135" s="287">
        <v>0.62638888888888888</v>
      </c>
      <c r="E135" s="287">
        <v>0.75694444444444453</v>
      </c>
      <c r="F135" s="288">
        <v>0.62916666666666665</v>
      </c>
      <c r="G135" s="288">
        <v>0.75</v>
      </c>
      <c r="H135" s="318"/>
      <c r="I135" s="318"/>
      <c r="J135" s="319"/>
      <c r="K135" s="318"/>
      <c r="L135" s="320">
        <v>1</v>
      </c>
      <c r="M135" s="320"/>
      <c r="N135" s="320"/>
      <c r="O135" s="321"/>
      <c r="P135" s="320"/>
      <c r="Q135" s="321"/>
      <c r="R135" s="320"/>
      <c r="S135" s="321"/>
      <c r="T135" s="320"/>
      <c r="U135" s="321"/>
      <c r="V135" s="320"/>
      <c r="W135" s="321"/>
      <c r="X135" s="320"/>
      <c r="Y135" s="298">
        <v>0.33333333333333331</v>
      </c>
      <c r="Z135" s="298">
        <v>0.70833333333333337</v>
      </c>
      <c r="AA135" s="293"/>
    </row>
    <row r="136" spans="1:27" s="276" customFormat="1" ht="21.75" customHeight="1" x14ac:dyDescent="0.2">
      <c r="A136" s="293" t="s">
        <v>228</v>
      </c>
      <c r="B136" s="287">
        <v>0.33958333333333335</v>
      </c>
      <c r="C136" s="287">
        <v>0.58958333333333335</v>
      </c>
      <c r="D136" s="287">
        <v>0.33958333333333335</v>
      </c>
      <c r="E136" s="287">
        <v>0.58958333333333335</v>
      </c>
      <c r="F136" s="288">
        <v>0.375</v>
      </c>
      <c r="G136" s="288">
        <v>0.58958333333333335</v>
      </c>
      <c r="H136" s="318"/>
      <c r="I136" s="318"/>
      <c r="J136" s="319"/>
      <c r="K136" s="318"/>
      <c r="L136" s="320"/>
      <c r="M136" s="320"/>
      <c r="N136" s="320"/>
      <c r="O136" s="321"/>
      <c r="P136" s="320"/>
      <c r="Q136" s="321"/>
      <c r="R136" s="320"/>
      <c r="S136" s="321"/>
      <c r="T136" s="320"/>
      <c r="U136" s="321"/>
      <c r="V136" s="320"/>
      <c r="W136" s="321"/>
      <c r="X136" s="320"/>
      <c r="Y136" s="298">
        <v>0.33333333333333331</v>
      </c>
      <c r="Z136" s="298">
        <v>0.70833333333333337</v>
      </c>
      <c r="AA136" s="293"/>
    </row>
    <row r="137" spans="1:27" s="276" customFormat="1" ht="21.75" customHeight="1" x14ac:dyDescent="0.2">
      <c r="A137" s="294" t="s">
        <v>228</v>
      </c>
      <c r="B137" s="286">
        <v>0.625</v>
      </c>
      <c r="C137" s="286">
        <v>0.75555555555555554</v>
      </c>
      <c r="D137" s="286">
        <v>0.625</v>
      </c>
      <c r="E137" s="286">
        <v>0.75555555555555554</v>
      </c>
      <c r="F137" s="307">
        <v>0.63124999999999998</v>
      </c>
      <c r="G137" s="307">
        <v>0.75</v>
      </c>
      <c r="H137" s="322"/>
      <c r="I137" s="322"/>
      <c r="J137" s="323"/>
      <c r="K137" s="322"/>
      <c r="L137" s="324">
        <v>1</v>
      </c>
      <c r="M137" s="324"/>
      <c r="N137" s="324"/>
      <c r="O137" s="325"/>
      <c r="P137" s="324"/>
      <c r="Q137" s="325"/>
      <c r="R137" s="324"/>
      <c r="S137" s="325"/>
      <c r="T137" s="324"/>
      <c r="U137" s="325"/>
      <c r="V137" s="324"/>
      <c r="W137" s="325"/>
      <c r="X137" s="324"/>
      <c r="Y137" s="299">
        <v>0.33333333333333331</v>
      </c>
      <c r="Z137" s="299">
        <v>0.70833333333333337</v>
      </c>
      <c r="AA137" s="294"/>
    </row>
    <row r="138" spans="1:27" s="276" customFormat="1" ht="21.75" customHeight="1" x14ac:dyDescent="0.2">
      <c r="A138" s="294" t="s">
        <v>229</v>
      </c>
      <c r="B138" s="289"/>
      <c r="C138" s="289"/>
      <c r="D138" s="290"/>
      <c r="E138" s="290"/>
      <c r="F138" s="366" t="s">
        <v>173</v>
      </c>
      <c r="G138" s="366"/>
      <c r="H138" s="322"/>
      <c r="I138" s="322"/>
      <c r="J138" s="323"/>
      <c r="K138" s="322"/>
      <c r="L138" s="324"/>
      <c r="M138" s="324"/>
      <c r="N138" s="324"/>
      <c r="O138" s="325"/>
      <c r="P138" s="324"/>
      <c r="Q138" s="325"/>
      <c r="R138" s="324"/>
      <c r="S138" s="325"/>
      <c r="T138" s="324"/>
      <c r="U138" s="325"/>
      <c r="V138" s="324"/>
      <c r="W138" s="325"/>
      <c r="X138" s="324"/>
      <c r="Y138" s="303"/>
      <c r="Z138" s="303"/>
      <c r="AA138" s="294"/>
    </row>
    <row r="139" spans="1:27" s="276" customFormat="1" ht="21.75" customHeight="1" x14ac:dyDescent="0.2">
      <c r="A139" s="293" t="s">
        <v>231</v>
      </c>
      <c r="B139" s="300"/>
      <c r="C139" s="300"/>
      <c r="D139" s="301"/>
      <c r="E139" s="301"/>
      <c r="F139" s="365" t="s">
        <v>173</v>
      </c>
      <c r="G139" s="365"/>
      <c r="H139" s="318"/>
      <c r="I139" s="318"/>
      <c r="J139" s="319"/>
      <c r="K139" s="318"/>
      <c r="L139" s="320"/>
      <c r="M139" s="320"/>
      <c r="N139" s="320"/>
      <c r="O139" s="321"/>
      <c r="P139" s="320"/>
      <c r="Q139" s="321"/>
      <c r="R139" s="320"/>
      <c r="S139" s="321"/>
      <c r="T139" s="320"/>
      <c r="U139" s="321"/>
      <c r="V139" s="320"/>
      <c r="W139" s="321"/>
      <c r="X139" s="320"/>
      <c r="Y139" s="302"/>
      <c r="Z139" s="302"/>
      <c r="AA139" s="293"/>
    </row>
    <row r="140" spans="1:27" s="276" customFormat="1" ht="21.75" customHeight="1" x14ac:dyDescent="0.2">
      <c r="A140" s="293" t="s">
        <v>232</v>
      </c>
      <c r="B140" s="287">
        <v>0.47916666666666669</v>
      </c>
      <c r="C140" s="287">
        <v>0.62777777777777777</v>
      </c>
      <c r="D140" s="287">
        <v>0.47916666666666669</v>
      </c>
      <c r="E140" s="287">
        <v>0.62777777777777777</v>
      </c>
      <c r="F140" s="288">
        <v>0.47916666666666669</v>
      </c>
      <c r="G140" s="288">
        <v>0.62777777777777777</v>
      </c>
      <c r="H140" s="318"/>
      <c r="I140" s="318"/>
      <c r="J140" s="319"/>
      <c r="K140" s="318"/>
      <c r="L140" s="320"/>
      <c r="M140" s="320"/>
      <c r="N140" s="320"/>
      <c r="O140" s="321"/>
      <c r="P140" s="320"/>
      <c r="Q140" s="321"/>
      <c r="R140" s="320"/>
      <c r="S140" s="321"/>
      <c r="T140" s="320"/>
      <c r="U140" s="321"/>
      <c r="V140" s="320"/>
      <c r="W140" s="321"/>
      <c r="X140" s="320"/>
      <c r="Y140" s="298">
        <v>0.33333333333333331</v>
      </c>
      <c r="Z140" s="298">
        <v>0.70833333333333337</v>
      </c>
      <c r="AA140" s="293"/>
    </row>
    <row r="141" spans="1:27" s="276" customFormat="1" ht="21.75" customHeight="1" x14ac:dyDescent="0.2">
      <c r="A141" s="294" t="s">
        <v>232</v>
      </c>
      <c r="B141" s="286">
        <v>0.75277777777777777</v>
      </c>
      <c r="C141" s="286">
        <v>0.97986111111111107</v>
      </c>
      <c r="D141" s="286">
        <v>0.75277777777777777</v>
      </c>
      <c r="E141" s="286">
        <v>0.97986111111111107</v>
      </c>
      <c r="F141" s="307">
        <v>0.7944444444444444</v>
      </c>
      <c r="G141" s="307">
        <v>0.97916666666666663</v>
      </c>
      <c r="H141" s="322"/>
      <c r="I141" s="322"/>
      <c r="J141" s="323"/>
      <c r="K141" s="322"/>
      <c r="L141" s="324">
        <v>1</v>
      </c>
      <c r="M141" s="324"/>
      <c r="N141" s="324"/>
      <c r="O141" s="325"/>
      <c r="P141" s="324"/>
      <c r="Q141" s="325"/>
      <c r="R141" s="324"/>
      <c r="S141" s="325">
        <v>1.5</v>
      </c>
      <c r="T141" s="324"/>
      <c r="U141" s="325"/>
      <c r="V141" s="324"/>
      <c r="W141" s="325"/>
      <c r="X141" s="324"/>
      <c r="Y141" s="299">
        <v>0.33333333333333331</v>
      </c>
      <c r="Z141" s="299">
        <v>0.70833333333333337</v>
      </c>
      <c r="AA141" s="294"/>
    </row>
    <row r="142" spans="1:27" s="276" customFormat="1" ht="21.75" customHeight="1" x14ac:dyDescent="0.2">
      <c r="A142" s="294" t="s">
        <v>233</v>
      </c>
      <c r="B142" s="286">
        <v>0.47916666666666669</v>
      </c>
      <c r="C142" s="286">
        <v>0.63263888888888886</v>
      </c>
      <c r="D142" s="286">
        <v>0.47916666666666669</v>
      </c>
      <c r="E142" s="286">
        <v>0.63263888888888886</v>
      </c>
      <c r="F142" s="366" t="s">
        <v>239</v>
      </c>
      <c r="G142" s="366"/>
      <c r="H142" s="322"/>
      <c r="I142" s="322"/>
      <c r="J142" s="323"/>
      <c r="K142" s="322"/>
      <c r="L142" s="324">
        <v>1</v>
      </c>
      <c r="M142" s="324"/>
      <c r="N142" s="324"/>
      <c r="O142" s="325"/>
      <c r="P142" s="324"/>
      <c r="Q142" s="325"/>
      <c r="R142" s="324"/>
      <c r="S142" s="325">
        <v>1.5</v>
      </c>
      <c r="T142" s="324"/>
      <c r="U142" s="325"/>
      <c r="V142" s="324"/>
      <c r="W142" s="325"/>
      <c r="X142" s="324"/>
      <c r="Y142" s="299">
        <v>0.33333333333333331</v>
      </c>
      <c r="Z142" s="299">
        <v>0.70833333333333337</v>
      </c>
      <c r="AA142" s="294"/>
    </row>
    <row r="143" spans="1:27" s="276" customFormat="1" ht="21.75" customHeight="1" x14ac:dyDescent="0.2">
      <c r="A143" s="293" t="s">
        <v>234</v>
      </c>
      <c r="B143" s="300"/>
      <c r="C143" s="300"/>
      <c r="D143" s="301"/>
      <c r="E143" s="301"/>
      <c r="F143" s="365" t="s">
        <v>249</v>
      </c>
      <c r="G143" s="365"/>
      <c r="H143" s="318"/>
      <c r="I143" s="318"/>
      <c r="J143" s="319"/>
      <c r="K143" s="318"/>
      <c r="L143" s="320">
        <v>1</v>
      </c>
      <c r="M143" s="320"/>
      <c r="N143" s="320"/>
      <c r="O143" s="321"/>
      <c r="P143" s="320"/>
      <c r="Q143" s="321"/>
      <c r="R143" s="320"/>
      <c r="S143" s="321">
        <v>1.5</v>
      </c>
      <c r="T143" s="320"/>
      <c r="U143" s="321"/>
      <c r="V143" s="320"/>
      <c r="W143" s="321"/>
      <c r="X143" s="320"/>
      <c r="Y143" s="302"/>
      <c r="Z143" s="302"/>
      <c r="AA143" s="293"/>
    </row>
    <row r="144" spans="1:27" s="276" customFormat="1" ht="21.75" customHeight="1" x14ac:dyDescent="0.2">
      <c r="A144" s="294" t="s">
        <v>236</v>
      </c>
      <c r="B144" s="289"/>
      <c r="C144" s="289"/>
      <c r="D144" s="290"/>
      <c r="E144" s="290"/>
      <c r="F144" s="366" t="s">
        <v>239</v>
      </c>
      <c r="G144" s="366"/>
      <c r="H144" s="322"/>
      <c r="I144" s="322"/>
      <c r="J144" s="323"/>
      <c r="K144" s="322"/>
      <c r="L144" s="324">
        <v>1</v>
      </c>
      <c r="M144" s="324"/>
      <c r="N144" s="324"/>
      <c r="O144" s="325"/>
      <c r="P144" s="324"/>
      <c r="Q144" s="325"/>
      <c r="R144" s="324"/>
      <c r="S144" s="325">
        <v>1.5</v>
      </c>
      <c r="T144" s="324"/>
      <c r="U144" s="325"/>
      <c r="V144" s="324"/>
      <c r="W144" s="325"/>
      <c r="X144" s="324"/>
      <c r="Y144" s="303"/>
      <c r="Z144" s="303"/>
      <c r="AA144" s="294"/>
    </row>
    <row r="145" spans="1:27" s="276" customFormat="1" ht="21.75" customHeight="1" x14ac:dyDescent="0.2">
      <c r="A145" s="293" t="s">
        <v>237</v>
      </c>
      <c r="B145" s="300"/>
      <c r="C145" s="300"/>
      <c r="D145" s="301"/>
      <c r="E145" s="301"/>
      <c r="F145" s="365" t="s">
        <v>249</v>
      </c>
      <c r="G145" s="365"/>
      <c r="H145" s="318"/>
      <c r="I145" s="318"/>
      <c r="J145" s="319"/>
      <c r="K145" s="318"/>
      <c r="L145" s="320">
        <v>1</v>
      </c>
      <c r="M145" s="320"/>
      <c r="N145" s="320"/>
      <c r="O145" s="321"/>
      <c r="P145" s="320"/>
      <c r="Q145" s="321"/>
      <c r="R145" s="320"/>
      <c r="S145" s="321">
        <v>1.5</v>
      </c>
      <c r="T145" s="320"/>
      <c r="U145" s="321"/>
      <c r="V145" s="320"/>
      <c r="W145" s="321"/>
      <c r="X145" s="320"/>
      <c r="Y145" s="302"/>
      <c r="Z145" s="302"/>
      <c r="AA145" s="293"/>
    </row>
    <row r="146" spans="1:27" s="276" customFormat="1" ht="21.75" customHeight="1" x14ac:dyDescent="0.2">
      <c r="A146" s="281" t="s">
        <v>3</v>
      </c>
      <c r="B146" s="281"/>
      <c r="C146" s="281"/>
      <c r="D146" s="281"/>
      <c r="E146" s="281"/>
      <c r="F146" s="281"/>
      <c r="G146" s="281"/>
      <c r="H146" s="326">
        <f>SUM(H122:H145)</f>
        <v>0</v>
      </c>
      <c r="I146" s="326">
        <f t="shared" ref="I146:X146" si="5">SUM(I122:I145)</f>
        <v>0</v>
      </c>
      <c r="J146" s="326">
        <f t="shared" si="5"/>
        <v>0</v>
      </c>
      <c r="K146" s="326">
        <f t="shared" si="5"/>
        <v>0</v>
      </c>
      <c r="L146" s="326">
        <f t="shared" si="5"/>
        <v>11</v>
      </c>
      <c r="M146" s="326">
        <f t="shared" si="5"/>
        <v>0</v>
      </c>
      <c r="N146" s="326">
        <f t="shared" si="5"/>
        <v>0</v>
      </c>
      <c r="O146" s="326">
        <f t="shared" si="5"/>
        <v>0</v>
      </c>
      <c r="P146" s="326">
        <f t="shared" si="5"/>
        <v>0</v>
      </c>
      <c r="Q146" s="326">
        <f t="shared" si="5"/>
        <v>0</v>
      </c>
      <c r="R146" s="326">
        <f t="shared" si="5"/>
        <v>0</v>
      </c>
      <c r="S146" s="326">
        <f t="shared" si="5"/>
        <v>12</v>
      </c>
      <c r="T146" s="326">
        <f t="shared" si="5"/>
        <v>0</v>
      </c>
      <c r="U146" s="326">
        <f t="shared" si="5"/>
        <v>0</v>
      </c>
      <c r="V146" s="326">
        <f t="shared" si="5"/>
        <v>0</v>
      </c>
      <c r="W146" s="326">
        <f t="shared" si="5"/>
        <v>0</v>
      </c>
      <c r="X146" s="326">
        <f t="shared" si="5"/>
        <v>0</v>
      </c>
      <c r="Y146" s="296"/>
      <c r="Z146" s="296"/>
      <c r="AA146" s="281"/>
    </row>
    <row r="147" spans="1:27" s="276" customFormat="1" ht="21.75" customHeight="1" thickBot="1" x14ac:dyDescent="0.25">
      <c r="H147" s="327"/>
      <c r="I147" s="327"/>
      <c r="J147" s="327"/>
      <c r="K147" s="327"/>
      <c r="L147" s="328"/>
      <c r="M147" s="328"/>
      <c r="N147" s="328"/>
      <c r="O147" s="328"/>
      <c r="P147" s="328"/>
      <c r="Q147" s="328"/>
      <c r="R147" s="328"/>
      <c r="S147" s="328"/>
      <c r="T147" s="328"/>
      <c r="U147" s="328"/>
      <c r="V147" s="328"/>
      <c r="W147" s="328"/>
      <c r="X147" s="328"/>
      <c r="Y147" s="304"/>
      <c r="Z147" s="304"/>
    </row>
    <row r="148" spans="1:27" s="276" customFormat="1" ht="21.75" customHeight="1" thickBot="1" x14ac:dyDescent="0.25">
      <c r="A148" s="297" t="s">
        <v>169</v>
      </c>
      <c r="B148" s="285" t="s">
        <v>187</v>
      </c>
      <c r="C148" s="285"/>
      <c r="D148" s="285"/>
      <c r="E148" s="285"/>
      <c r="F148" s="285"/>
      <c r="G148" s="285"/>
      <c r="H148" s="369" t="s">
        <v>91</v>
      </c>
      <c r="I148" s="370"/>
      <c r="J148" s="370"/>
      <c r="K148" s="371"/>
      <c r="L148" s="372" t="s">
        <v>90</v>
      </c>
      <c r="M148" s="374" t="s">
        <v>157</v>
      </c>
      <c r="N148" s="374" t="s">
        <v>158</v>
      </c>
      <c r="O148" s="376" t="s">
        <v>159</v>
      </c>
      <c r="P148" s="377"/>
      <c r="Q148" s="378"/>
      <c r="R148" s="374" t="s">
        <v>160</v>
      </c>
      <c r="S148" s="376" t="s">
        <v>19</v>
      </c>
      <c r="T148" s="377"/>
      <c r="U148" s="378"/>
      <c r="V148" s="374" t="s">
        <v>124</v>
      </c>
      <c r="W148" s="374" t="s">
        <v>125</v>
      </c>
      <c r="X148" s="363" t="s">
        <v>105</v>
      </c>
      <c r="Y148" s="296" t="s">
        <v>161</v>
      </c>
      <c r="Z148" s="296"/>
      <c r="AA148" s="281" t="s">
        <v>162</v>
      </c>
    </row>
    <row r="149" spans="1:27" s="276" customFormat="1" ht="21.75" customHeight="1" thickBot="1" x14ac:dyDescent="0.25">
      <c r="A149" s="297" t="s">
        <v>171</v>
      </c>
      <c r="B149" s="285" t="s">
        <v>188</v>
      </c>
      <c r="C149" s="285"/>
      <c r="D149" s="285"/>
      <c r="E149" s="285"/>
      <c r="F149" s="285"/>
      <c r="G149" s="285"/>
      <c r="H149" s="282" t="s">
        <v>165</v>
      </c>
      <c r="I149" s="282" t="s">
        <v>93</v>
      </c>
      <c r="J149" s="282" t="s">
        <v>94</v>
      </c>
      <c r="K149" s="283" t="s">
        <v>166</v>
      </c>
      <c r="L149" s="373"/>
      <c r="M149" s="375"/>
      <c r="N149" s="375"/>
      <c r="O149" s="284" t="s">
        <v>167</v>
      </c>
      <c r="P149" s="284" t="s">
        <v>168</v>
      </c>
      <c r="Q149" s="315" t="s">
        <v>125</v>
      </c>
      <c r="R149" s="375"/>
      <c r="S149" s="284" t="s">
        <v>167</v>
      </c>
      <c r="T149" s="284" t="s">
        <v>168</v>
      </c>
      <c r="U149" s="315" t="s">
        <v>125</v>
      </c>
      <c r="V149" s="375"/>
      <c r="W149" s="375"/>
      <c r="X149" s="364"/>
      <c r="Y149" s="296" t="s">
        <v>163</v>
      </c>
      <c r="Z149" s="296" t="s">
        <v>164</v>
      </c>
      <c r="AA149" s="281"/>
    </row>
    <row r="150" spans="1:27" s="276" customFormat="1" ht="21.75" customHeight="1" x14ac:dyDescent="0.2">
      <c r="A150" s="293" t="s">
        <v>216</v>
      </c>
      <c r="B150" s="287">
        <v>0.4826388888888889</v>
      </c>
      <c r="C150" s="287">
        <v>0.58472222222222225</v>
      </c>
      <c r="D150" s="287">
        <v>0.4826388888888889</v>
      </c>
      <c r="E150" s="287">
        <v>0.58472222222222225</v>
      </c>
      <c r="F150" s="288">
        <v>0.47916666666666669</v>
      </c>
      <c r="G150" s="288">
        <v>0.58472222222222225</v>
      </c>
      <c r="H150" s="318"/>
      <c r="I150" s="318"/>
      <c r="J150" s="319"/>
      <c r="K150" s="318"/>
      <c r="L150" s="320"/>
      <c r="M150" s="320"/>
      <c r="N150" s="320"/>
      <c r="O150" s="321"/>
      <c r="P150" s="320"/>
      <c r="Q150" s="321"/>
      <c r="R150" s="320"/>
      <c r="S150" s="321"/>
      <c r="T150" s="320"/>
      <c r="U150" s="321"/>
      <c r="V150" s="320"/>
      <c r="W150" s="321"/>
      <c r="X150" s="320"/>
      <c r="Y150" s="298">
        <v>0</v>
      </c>
      <c r="Z150" s="298">
        <v>0</v>
      </c>
      <c r="AA150" s="293"/>
    </row>
    <row r="151" spans="1:27" s="276" customFormat="1" ht="21.75" customHeight="1" x14ac:dyDescent="0.2">
      <c r="A151" s="294" t="s">
        <v>216</v>
      </c>
      <c r="B151" s="286">
        <v>0.75069444444444444</v>
      </c>
      <c r="C151" s="286">
        <v>0.97986111111111107</v>
      </c>
      <c r="D151" s="286">
        <v>0.75069444444444444</v>
      </c>
      <c r="E151" s="286">
        <v>0.97986111111111107</v>
      </c>
      <c r="F151" s="307">
        <v>0.75138888888888899</v>
      </c>
      <c r="G151" s="307">
        <v>0.97916666666666663</v>
      </c>
      <c r="H151" s="322"/>
      <c r="I151" s="322"/>
      <c r="J151" s="323"/>
      <c r="K151" s="322"/>
      <c r="L151" s="324">
        <v>1</v>
      </c>
      <c r="M151" s="324"/>
      <c r="N151" s="324"/>
      <c r="O151" s="325"/>
      <c r="P151" s="324"/>
      <c r="Q151" s="325"/>
      <c r="R151" s="324"/>
      <c r="S151" s="325">
        <v>1.5</v>
      </c>
      <c r="T151" s="324"/>
      <c r="U151" s="325"/>
      <c r="V151" s="324"/>
      <c r="W151" s="325"/>
      <c r="X151" s="324"/>
      <c r="Y151" s="299">
        <v>0</v>
      </c>
      <c r="Z151" s="299">
        <v>0</v>
      </c>
      <c r="AA151" s="294"/>
    </row>
    <row r="152" spans="1:27" s="276" customFormat="1" ht="21.75" customHeight="1" x14ac:dyDescent="0.2">
      <c r="A152" s="293" t="s">
        <v>218</v>
      </c>
      <c r="B152" s="287">
        <v>0.49236111111111108</v>
      </c>
      <c r="C152" s="287">
        <v>0.625</v>
      </c>
      <c r="D152" s="287">
        <v>0.49236111111111108</v>
      </c>
      <c r="E152" s="287">
        <v>0.625</v>
      </c>
      <c r="F152" s="288">
        <v>0.47916666666666669</v>
      </c>
      <c r="G152" s="288">
        <v>0.625</v>
      </c>
      <c r="H152" s="318"/>
      <c r="I152" s="318"/>
      <c r="J152" s="319"/>
      <c r="K152" s="318"/>
      <c r="L152" s="320"/>
      <c r="M152" s="320"/>
      <c r="N152" s="320"/>
      <c r="O152" s="321"/>
      <c r="P152" s="320"/>
      <c r="Q152" s="321"/>
      <c r="R152" s="320"/>
      <c r="S152" s="321"/>
      <c r="T152" s="320"/>
      <c r="U152" s="321"/>
      <c r="V152" s="320"/>
      <c r="W152" s="321"/>
      <c r="X152" s="320"/>
      <c r="Y152" s="298">
        <v>0</v>
      </c>
      <c r="Z152" s="298">
        <v>0</v>
      </c>
      <c r="AA152" s="293"/>
    </row>
    <row r="153" spans="1:27" s="276" customFormat="1" ht="21.75" customHeight="1" x14ac:dyDescent="0.2">
      <c r="A153" s="294" t="s">
        <v>218</v>
      </c>
      <c r="B153" s="286">
        <v>0.7895833333333333</v>
      </c>
      <c r="C153" s="289"/>
      <c r="D153" s="286">
        <v>0.7895833333333333</v>
      </c>
      <c r="E153" s="307">
        <v>0.97916666666666663</v>
      </c>
      <c r="F153" s="307">
        <v>0.79166666666666663</v>
      </c>
      <c r="G153" s="307">
        <v>0.97916666666666663</v>
      </c>
      <c r="H153" s="322"/>
      <c r="I153" s="322"/>
      <c r="J153" s="323"/>
      <c r="K153" s="322"/>
      <c r="L153" s="324"/>
      <c r="M153" s="324"/>
      <c r="N153" s="324"/>
      <c r="O153" s="325"/>
      <c r="P153" s="324"/>
      <c r="Q153" s="325"/>
      <c r="R153" s="324"/>
      <c r="S153" s="325"/>
      <c r="T153" s="324"/>
      <c r="U153" s="325"/>
      <c r="V153" s="324"/>
      <c r="W153" s="325"/>
      <c r="X153" s="324"/>
      <c r="Y153" s="299">
        <v>0</v>
      </c>
      <c r="Z153" s="299">
        <v>0</v>
      </c>
      <c r="AA153" s="294" t="s">
        <v>208</v>
      </c>
    </row>
    <row r="154" spans="1:27" s="276" customFormat="1" ht="21.75" customHeight="1" x14ac:dyDescent="0.2">
      <c r="A154" s="293" t="s">
        <v>219</v>
      </c>
      <c r="B154" s="287">
        <v>6.2499999999999995E-3</v>
      </c>
      <c r="C154" s="287">
        <v>6.2499999999999995E-3</v>
      </c>
      <c r="D154" s="287">
        <v>6.2499999999999995E-3</v>
      </c>
      <c r="E154" s="287">
        <v>6.2499999999999995E-3</v>
      </c>
      <c r="F154" s="287">
        <v>0</v>
      </c>
      <c r="G154" s="287">
        <v>0</v>
      </c>
      <c r="H154" s="318"/>
      <c r="I154" s="318"/>
      <c r="J154" s="319"/>
      <c r="K154" s="318"/>
      <c r="L154" s="320">
        <v>1</v>
      </c>
      <c r="M154" s="320"/>
      <c r="N154" s="320"/>
      <c r="O154" s="321"/>
      <c r="P154" s="320"/>
      <c r="Q154" s="321"/>
      <c r="R154" s="320"/>
      <c r="S154" s="321">
        <v>2</v>
      </c>
      <c r="T154" s="320"/>
      <c r="U154" s="321"/>
      <c r="V154" s="320"/>
      <c r="W154" s="321"/>
      <c r="X154" s="320"/>
      <c r="Y154" s="298">
        <v>0</v>
      </c>
      <c r="Z154" s="298">
        <v>0</v>
      </c>
      <c r="AA154" s="293"/>
    </row>
    <row r="155" spans="1:27" s="276" customFormat="1" ht="21.75" customHeight="1" x14ac:dyDescent="0.2">
      <c r="A155" s="294" t="s">
        <v>219</v>
      </c>
      <c r="B155" s="286">
        <v>0.5083333333333333</v>
      </c>
      <c r="C155" s="286">
        <v>0.62916666666666665</v>
      </c>
      <c r="D155" s="286">
        <v>0.5083333333333333</v>
      </c>
      <c r="E155" s="286">
        <v>0.62916666666666665</v>
      </c>
      <c r="F155" s="286">
        <v>0</v>
      </c>
      <c r="G155" s="307">
        <v>0.62916666666666665</v>
      </c>
      <c r="H155" s="322"/>
      <c r="I155" s="322"/>
      <c r="J155" s="323"/>
      <c r="K155" s="322"/>
      <c r="L155" s="324"/>
      <c r="M155" s="324"/>
      <c r="N155" s="324"/>
      <c r="O155" s="325"/>
      <c r="P155" s="324"/>
      <c r="Q155" s="325"/>
      <c r="R155" s="324"/>
      <c r="S155" s="325"/>
      <c r="T155" s="324"/>
      <c r="U155" s="325"/>
      <c r="V155" s="324"/>
      <c r="W155" s="325"/>
      <c r="X155" s="324"/>
      <c r="Y155" s="299">
        <v>0</v>
      </c>
      <c r="Z155" s="299">
        <v>0</v>
      </c>
      <c r="AA155" s="294" t="s">
        <v>213</v>
      </c>
    </row>
    <row r="156" spans="1:27" s="276" customFormat="1" ht="21.75" customHeight="1" x14ac:dyDescent="0.2">
      <c r="A156" s="293" t="s">
        <v>219</v>
      </c>
      <c r="B156" s="287">
        <v>0.67013888888888884</v>
      </c>
      <c r="C156" s="287">
        <v>0.87569444444444444</v>
      </c>
      <c r="D156" s="287">
        <v>0.67013888888888884</v>
      </c>
      <c r="E156" s="287">
        <v>0.87569444444444444</v>
      </c>
      <c r="F156" s="288">
        <v>0.67083333333333339</v>
      </c>
      <c r="G156" s="288">
        <v>0.875</v>
      </c>
      <c r="H156" s="318"/>
      <c r="I156" s="318"/>
      <c r="J156" s="319"/>
      <c r="K156" s="318"/>
      <c r="L156" s="320">
        <v>1</v>
      </c>
      <c r="M156" s="320">
        <f>12/60</f>
        <v>0.2</v>
      </c>
      <c r="N156" s="320"/>
      <c r="O156" s="321"/>
      <c r="P156" s="320"/>
      <c r="Q156" s="321"/>
      <c r="R156" s="320"/>
      <c r="S156" s="321"/>
      <c r="T156" s="320"/>
      <c r="U156" s="321"/>
      <c r="V156" s="320"/>
      <c r="W156" s="321"/>
      <c r="X156" s="320"/>
      <c r="Y156" s="298">
        <v>0</v>
      </c>
      <c r="Z156" s="298">
        <v>0</v>
      </c>
      <c r="AA156" s="293"/>
    </row>
    <row r="157" spans="1:27" s="276" customFormat="1" ht="21.75" customHeight="1" x14ac:dyDescent="0.2">
      <c r="A157" s="294" t="s">
        <v>220</v>
      </c>
      <c r="B157" s="289"/>
      <c r="C157" s="289"/>
      <c r="D157" s="290"/>
      <c r="E157" s="290"/>
      <c r="F157" s="366" t="s">
        <v>173</v>
      </c>
      <c r="G157" s="366"/>
      <c r="H157" s="322"/>
      <c r="I157" s="322"/>
      <c r="J157" s="323"/>
      <c r="K157" s="322"/>
      <c r="L157" s="324"/>
      <c r="M157" s="324"/>
      <c r="N157" s="324"/>
      <c r="O157" s="325"/>
      <c r="P157" s="324"/>
      <c r="Q157" s="325"/>
      <c r="R157" s="324"/>
      <c r="S157" s="325"/>
      <c r="T157" s="324"/>
      <c r="U157" s="325"/>
      <c r="V157" s="324"/>
      <c r="W157" s="325"/>
      <c r="X157" s="324"/>
      <c r="Y157" s="303"/>
      <c r="Z157" s="303"/>
      <c r="AA157" s="294"/>
    </row>
    <row r="158" spans="1:27" s="276" customFormat="1" ht="21.75" customHeight="1" x14ac:dyDescent="0.2">
      <c r="A158" s="294" t="s">
        <v>222</v>
      </c>
      <c r="B158" s="286">
        <v>0.41875000000000001</v>
      </c>
      <c r="C158" s="286">
        <v>0.59236111111111112</v>
      </c>
      <c r="D158" s="286">
        <v>0.41875000000000001</v>
      </c>
      <c r="E158" s="286">
        <v>0.59236111111111112</v>
      </c>
      <c r="F158" s="307">
        <v>0.41666666666666669</v>
      </c>
      <c r="G158" s="307">
        <v>0.59236111111111112</v>
      </c>
      <c r="H158" s="322"/>
      <c r="I158" s="322"/>
      <c r="J158" s="323"/>
      <c r="K158" s="322"/>
      <c r="L158" s="324"/>
      <c r="M158" s="324"/>
      <c r="N158" s="324"/>
      <c r="O158" s="325"/>
      <c r="P158" s="324"/>
      <c r="Q158" s="325"/>
      <c r="R158" s="324"/>
      <c r="S158" s="325"/>
      <c r="T158" s="324"/>
      <c r="U158" s="325"/>
      <c r="V158" s="324"/>
      <c r="W158" s="325"/>
      <c r="X158" s="324"/>
      <c r="Y158" s="299">
        <v>0</v>
      </c>
      <c r="Z158" s="299">
        <v>0</v>
      </c>
      <c r="AA158" s="294"/>
    </row>
    <row r="159" spans="1:27" s="276" customFormat="1" ht="21.75" customHeight="1" x14ac:dyDescent="0.2">
      <c r="A159" s="293" t="s">
        <v>222</v>
      </c>
      <c r="B159" s="287">
        <v>0.6333333333333333</v>
      </c>
      <c r="C159" s="287">
        <v>0.79236111111111107</v>
      </c>
      <c r="D159" s="287">
        <v>0.6333333333333333</v>
      </c>
      <c r="E159" s="287">
        <v>0.79236111111111107</v>
      </c>
      <c r="F159" s="288">
        <v>0.63402777777777775</v>
      </c>
      <c r="G159" s="288">
        <v>0.79166666666666663</v>
      </c>
      <c r="H159" s="318"/>
      <c r="I159" s="318"/>
      <c r="J159" s="319"/>
      <c r="K159" s="318"/>
      <c r="L159" s="320">
        <v>1</v>
      </c>
      <c r="M159" s="320"/>
      <c r="N159" s="320"/>
      <c r="O159" s="321"/>
      <c r="P159" s="320"/>
      <c r="Q159" s="321"/>
      <c r="R159" s="320"/>
      <c r="S159" s="321"/>
      <c r="T159" s="320"/>
      <c r="U159" s="321"/>
      <c r="V159" s="320"/>
      <c r="W159" s="321"/>
      <c r="X159" s="320"/>
      <c r="Y159" s="298">
        <v>0</v>
      </c>
      <c r="Z159" s="298">
        <v>0</v>
      </c>
      <c r="AA159" s="293"/>
    </row>
    <row r="160" spans="1:27" s="276" customFormat="1" ht="21.75" customHeight="1" x14ac:dyDescent="0.2">
      <c r="A160" s="293" t="s">
        <v>223</v>
      </c>
      <c r="B160" s="300"/>
      <c r="C160" s="300"/>
      <c r="D160" s="301"/>
      <c r="E160" s="301"/>
      <c r="F160" s="365" t="s">
        <v>224</v>
      </c>
      <c r="G160" s="365"/>
      <c r="H160" s="318"/>
      <c r="I160" s="318"/>
      <c r="J160" s="319"/>
      <c r="K160" s="318"/>
      <c r="L160" s="320"/>
      <c r="M160" s="320"/>
      <c r="N160" s="320"/>
      <c r="O160" s="321"/>
      <c r="P160" s="320"/>
      <c r="Q160" s="321"/>
      <c r="R160" s="320"/>
      <c r="S160" s="321"/>
      <c r="T160" s="320"/>
      <c r="U160" s="321"/>
      <c r="V160" s="320"/>
      <c r="W160" s="321"/>
      <c r="X160" s="320"/>
      <c r="Y160" s="302"/>
      <c r="Z160" s="302"/>
      <c r="AA160" s="293"/>
    </row>
    <row r="161" spans="1:27" s="276" customFormat="1" ht="21.75" customHeight="1" x14ac:dyDescent="0.2">
      <c r="A161" s="294" t="s">
        <v>225</v>
      </c>
      <c r="B161" s="289"/>
      <c r="C161" s="289"/>
      <c r="D161" s="290"/>
      <c r="E161" s="290"/>
      <c r="F161" s="366" t="s">
        <v>224</v>
      </c>
      <c r="G161" s="366"/>
      <c r="H161" s="322"/>
      <c r="I161" s="322"/>
      <c r="J161" s="323"/>
      <c r="K161" s="322"/>
      <c r="L161" s="324"/>
      <c r="M161" s="324"/>
      <c r="N161" s="324"/>
      <c r="O161" s="325"/>
      <c r="P161" s="324"/>
      <c r="Q161" s="325"/>
      <c r="R161" s="324"/>
      <c r="S161" s="325"/>
      <c r="T161" s="324"/>
      <c r="U161" s="325"/>
      <c r="V161" s="324"/>
      <c r="W161" s="325"/>
      <c r="X161" s="324"/>
      <c r="Y161" s="303"/>
      <c r="Z161" s="303"/>
      <c r="AA161" s="294"/>
    </row>
    <row r="162" spans="1:27" s="276" customFormat="1" ht="21.75" customHeight="1" x14ac:dyDescent="0.2">
      <c r="A162" s="293" t="s">
        <v>226</v>
      </c>
      <c r="B162" s="287">
        <v>0.47847222222222219</v>
      </c>
      <c r="C162" s="287">
        <v>0.61249999999999993</v>
      </c>
      <c r="D162" s="287">
        <v>0.47847222222222219</v>
      </c>
      <c r="E162" s="287">
        <v>0.61249999999999993</v>
      </c>
      <c r="F162" s="288">
        <v>0.97916666666666663</v>
      </c>
      <c r="G162" s="288">
        <v>0.61249999999999993</v>
      </c>
      <c r="H162" s="318"/>
      <c r="I162" s="318"/>
      <c r="J162" s="319"/>
      <c r="K162" s="318"/>
      <c r="L162" s="320"/>
      <c r="M162" s="320"/>
      <c r="N162" s="320"/>
      <c r="O162" s="321"/>
      <c r="P162" s="320"/>
      <c r="Q162" s="321"/>
      <c r="R162" s="320"/>
      <c r="S162" s="321"/>
      <c r="T162" s="320"/>
      <c r="U162" s="321"/>
      <c r="V162" s="320"/>
      <c r="W162" s="321"/>
      <c r="X162" s="320"/>
      <c r="Y162" s="298">
        <v>0</v>
      </c>
      <c r="Z162" s="298">
        <v>0</v>
      </c>
      <c r="AA162" s="293"/>
    </row>
    <row r="163" spans="1:27" s="276" customFormat="1" ht="21.75" customHeight="1" x14ac:dyDescent="0.2">
      <c r="A163" s="294" t="s">
        <v>226</v>
      </c>
      <c r="B163" s="286">
        <v>0.77847222222222223</v>
      </c>
      <c r="C163" s="286">
        <v>0.97986111111111107</v>
      </c>
      <c r="D163" s="286">
        <v>0.77847222222222223</v>
      </c>
      <c r="E163" s="286">
        <v>0.97986111111111107</v>
      </c>
      <c r="F163" s="307">
        <v>0.77916666666666667</v>
      </c>
      <c r="G163" s="307">
        <v>0.97916666666666663</v>
      </c>
      <c r="H163" s="322"/>
      <c r="I163" s="322"/>
      <c r="J163" s="323"/>
      <c r="K163" s="322"/>
      <c r="L163" s="324">
        <v>1</v>
      </c>
      <c r="M163" s="324"/>
      <c r="N163" s="324"/>
      <c r="O163" s="325"/>
      <c r="P163" s="324"/>
      <c r="Q163" s="325"/>
      <c r="R163" s="324"/>
      <c r="S163" s="325">
        <v>1.5</v>
      </c>
      <c r="T163" s="324"/>
      <c r="U163" s="325"/>
      <c r="V163" s="324"/>
      <c r="W163" s="325"/>
      <c r="X163" s="324"/>
      <c r="Y163" s="299">
        <v>0</v>
      </c>
      <c r="Z163" s="299">
        <v>0</v>
      </c>
      <c r="AA163" s="294"/>
    </row>
    <row r="164" spans="1:27" s="276" customFormat="1" ht="21.75" customHeight="1" x14ac:dyDescent="0.2">
      <c r="A164" s="293" t="s">
        <v>228</v>
      </c>
      <c r="B164" s="300"/>
      <c r="C164" s="300"/>
      <c r="D164" s="301"/>
      <c r="E164" s="301"/>
      <c r="F164" s="365" t="s">
        <v>22</v>
      </c>
      <c r="G164" s="365"/>
      <c r="H164" s="318"/>
      <c r="I164" s="318"/>
      <c r="J164" s="319"/>
      <c r="K164" s="318"/>
      <c r="L164" s="320"/>
      <c r="M164" s="320"/>
      <c r="N164" s="320"/>
      <c r="O164" s="321"/>
      <c r="P164" s="320"/>
      <c r="Q164" s="321"/>
      <c r="R164" s="320"/>
      <c r="S164" s="321"/>
      <c r="T164" s="320"/>
      <c r="U164" s="321"/>
      <c r="V164" s="320"/>
      <c r="W164" s="321"/>
      <c r="X164" s="320"/>
      <c r="Y164" s="302"/>
      <c r="Z164" s="302"/>
      <c r="AA164" s="293"/>
    </row>
    <row r="165" spans="1:27" s="276" customFormat="1" ht="21.75" customHeight="1" x14ac:dyDescent="0.2">
      <c r="A165" s="294" t="s">
        <v>229</v>
      </c>
      <c r="B165" s="289"/>
      <c r="C165" s="289"/>
      <c r="D165" s="290"/>
      <c r="E165" s="290"/>
      <c r="F165" s="366" t="s">
        <v>173</v>
      </c>
      <c r="G165" s="366"/>
      <c r="H165" s="322"/>
      <c r="I165" s="322"/>
      <c r="J165" s="323"/>
      <c r="K165" s="322"/>
      <c r="L165" s="324"/>
      <c r="M165" s="324"/>
      <c r="N165" s="324"/>
      <c r="O165" s="325"/>
      <c r="P165" s="324"/>
      <c r="Q165" s="325"/>
      <c r="R165" s="324"/>
      <c r="S165" s="325"/>
      <c r="T165" s="324"/>
      <c r="U165" s="325"/>
      <c r="V165" s="324"/>
      <c r="W165" s="325"/>
      <c r="X165" s="324"/>
      <c r="Y165" s="303"/>
      <c r="Z165" s="303"/>
      <c r="AA165" s="294"/>
    </row>
    <row r="166" spans="1:27" s="276" customFormat="1" ht="21.75" customHeight="1" x14ac:dyDescent="0.2">
      <c r="A166" s="293" t="s">
        <v>231</v>
      </c>
      <c r="B166" s="300"/>
      <c r="C166" s="300"/>
      <c r="D166" s="301"/>
      <c r="E166" s="301"/>
      <c r="F166" s="365" t="s">
        <v>173</v>
      </c>
      <c r="G166" s="365"/>
      <c r="H166" s="318"/>
      <c r="I166" s="318"/>
      <c r="J166" s="319"/>
      <c r="K166" s="318"/>
      <c r="L166" s="320"/>
      <c r="M166" s="320"/>
      <c r="N166" s="320"/>
      <c r="O166" s="321"/>
      <c r="P166" s="320"/>
      <c r="Q166" s="321"/>
      <c r="R166" s="320"/>
      <c r="S166" s="321"/>
      <c r="T166" s="320"/>
      <c r="U166" s="321"/>
      <c r="V166" s="320"/>
      <c r="W166" s="321"/>
      <c r="X166" s="320"/>
      <c r="Y166" s="302"/>
      <c r="Z166" s="302"/>
      <c r="AA166" s="293"/>
    </row>
    <row r="167" spans="1:27" s="276" customFormat="1" ht="21.75" customHeight="1" x14ac:dyDescent="0.2">
      <c r="A167" s="293" t="s">
        <v>232</v>
      </c>
      <c r="B167" s="287">
        <v>0.48888888888888887</v>
      </c>
      <c r="C167" s="287">
        <v>0.60555555555555551</v>
      </c>
      <c r="D167" s="287">
        <v>0.48888888888888887</v>
      </c>
      <c r="E167" s="287">
        <v>0.60555555555555551</v>
      </c>
      <c r="F167" s="288">
        <v>0.47916666666666669</v>
      </c>
      <c r="G167" s="288">
        <v>0.60555555555555551</v>
      </c>
      <c r="H167" s="318"/>
      <c r="I167" s="318"/>
      <c r="J167" s="319"/>
      <c r="K167" s="318"/>
      <c r="L167" s="320"/>
      <c r="M167" s="320"/>
      <c r="N167" s="320"/>
      <c r="O167" s="321"/>
      <c r="P167" s="320"/>
      <c r="Q167" s="321"/>
      <c r="R167" s="320"/>
      <c r="S167" s="321"/>
      <c r="T167" s="320"/>
      <c r="U167" s="321"/>
      <c r="V167" s="320"/>
      <c r="W167" s="321"/>
      <c r="X167" s="320"/>
      <c r="Y167" s="298">
        <v>0</v>
      </c>
      <c r="Z167" s="298">
        <v>0</v>
      </c>
      <c r="AA167" s="293" t="s">
        <v>184</v>
      </c>
    </row>
    <row r="168" spans="1:27" s="276" customFormat="1" ht="21.75" customHeight="1" x14ac:dyDescent="0.2">
      <c r="A168" s="294" t="s">
        <v>232</v>
      </c>
      <c r="B168" s="286">
        <v>0.77083333333333337</v>
      </c>
      <c r="C168" s="286">
        <v>0.97916666666666663</v>
      </c>
      <c r="D168" s="286">
        <v>0.77083333333333337</v>
      </c>
      <c r="E168" s="286">
        <v>0.97916666666666663</v>
      </c>
      <c r="F168" s="307">
        <v>0.77222222222222225</v>
      </c>
      <c r="G168" s="307">
        <v>0.97916666666666663</v>
      </c>
      <c r="H168" s="322"/>
      <c r="I168" s="322"/>
      <c r="J168" s="323"/>
      <c r="K168" s="322"/>
      <c r="L168" s="324">
        <v>1</v>
      </c>
      <c r="M168" s="324">
        <f>14/60</f>
        <v>0.23333333333333334</v>
      </c>
      <c r="N168" s="324"/>
      <c r="O168" s="325"/>
      <c r="P168" s="324"/>
      <c r="Q168" s="325"/>
      <c r="R168" s="324"/>
      <c r="S168" s="325">
        <v>1.5</v>
      </c>
      <c r="T168" s="324"/>
      <c r="U168" s="325"/>
      <c r="V168" s="324"/>
      <c r="W168" s="325"/>
      <c r="X168" s="324"/>
      <c r="Y168" s="299">
        <v>0</v>
      </c>
      <c r="Z168" s="299">
        <v>0</v>
      </c>
      <c r="AA168" s="294"/>
    </row>
    <row r="169" spans="1:27" s="276" customFormat="1" ht="21.75" customHeight="1" x14ac:dyDescent="0.2">
      <c r="A169" s="294" t="s">
        <v>233</v>
      </c>
      <c r="B169" s="286">
        <v>0.50069444444444444</v>
      </c>
      <c r="C169" s="286">
        <v>0.6118055555555556</v>
      </c>
      <c r="D169" s="286">
        <v>0.50069444444444444</v>
      </c>
      <c r="E169" s="286">
        <v>0.6118055555555556</v>
      </c>
      <c r="F169" s="381" t="s">
        <v>239</v>
      </c>
      <c r="G169" s="381"/>
      <c r="H169" s="322"/>
      <c r="I169" s="322"/>
      <c r="J169" s="323"/>
      <c r="K169" s="322"/>
      <c r="L169" s="324">
        <v>1</v>
      </c>
      <c r="M169" s="324">
        <f>21/60</f>
        <v>0.35</v>
      </c>
      <c r="N169" s="324"/>
      <c r="O169" s="325"/>
      <c r="P169" s="324"/>
      <c r="Q169" s="325"/>
      <c r="R169" s="324"/>
      <c r="S169" s="325">
        <v>1.5</v>
      </c>
      <c r="T169" s="324"/>
      <c r="U169" s="325"/>
      <c r="V169" s="324"/>
      <c r="W169" s="325"/>
      <c r="X169" s="324"/>
      <c r="Y169" s="299">
        <v>0</v>
      </c>
      <c r="Z169" s="299">
        <v>0</v>
      </c>
      <c r="AA169" s="294"/>
    </row>
    <row r="170" spans="1:27" s="276" customFormat="1" ht="21.75" customHeight="1" x14ac:dyDescent="0.2">
      <c r="A170" s="293" t="s">
        <v>234</v>
      </c>
      <c r="B170" s="300"/>
      <c r="C170" s="300"/>
      <c r="D170" s="301"/>
      <c r="E170" s="301"/>
      <c r="F170" s="365" t="s">
        <v>239</v>
      </c>
      <c r="G170" s="365"/>
      <c r="H170" s="318"/>
      <c r="I170" s="318"/>
      <c r="J170" s="319"/>
      <c r="K170" s="318"/>
      <c r="L170" s="320">
        <v>1</v>
      </c>
      <c r="M170" s="320"/>
      <c r="N170" s="320"/>
      <c r="O170" s="321"/>
      <c r="P170" s="320"/>
      <c r="Q170" s="321"/>
      <c r="R170" s="320"/>
      <c r="S170" s="321">
        <v>1.5</v>
      </c>
      <c r="T170" s="320"/>
      <c r="U170" s="321"/>
      <c r="V170" s="320"/>
      <c r="W170" s="321"/>
      <c r="X170" s="320"/>
      <c r="Y170" s="302"/>
      <c r="Z170" s="302"/>
      <c r="AA170" s="293"/>
    </row>
    <row r="171" spans="1:27" s="276" customFormat="1" ht="21.75" customHeight="1" x14ac:dyDescent="0.2">
      <c r="A171" s="294" t="s">
        <v>236</v>
      </c>
      <c r="B171" s="289"/>
      <c r="C171" s="289"/>
      <c r="D171" s="290"/>
      <c r="E171" s="290"/>
      <c r="F171" s="381" t="s">
        <v>239</v>
      </c>
      <c r="G171" s="381"/>
      <c r="H171" s="322"/>
      <c r="I171" s="322"/>
      <c r="J171" s="323"/>
      <c r="K171" s="322"/>
      <c r="L171" s="324">
        <v>1</v>
      </c>
      <c r="M171" s="324"/>
      <c r="N171" s="324"/>
      <c r="O171" s="325"/>
      <c r="P171" s="324"/>
      <c r="Q171" s="325"/>
      <c r="R171" s="324"/>
      <c r="S171" s="325">
        <v>1.5</v>
      </c>
      <c r="T171" s="324"/>
      <c r="U171" s="325"/>
      <c r="V171" s="324"/>
      <c r="W171" s="325"/>
      <c r="X171" s="324"/>
      <c r="Y171" s="303"/>
      <c r="Z171" s="303"/>
      <c r="AA171" s="294"/>
    </row>
    <row r="172" spans="1:27" s="276" customFormat="1" ht="21.75" customHeight="1" x14ac:dyDescent="0.2">
      <c r="A172" s="293" t="s">
        <v>237</v>
      </c>
      <c r="B172" s="300"/>
      <c r="C172" s="300"/>
      <c r="D172" s="301"/>
      <c r="E172" s="301"/>
      <c r="F172" s="365" t="s">
        <v>239</v>
      </c>
      <c r="G172" s="365"/>
      <c r="H172" s="318"/>
      <c r="I172" s="318"/>
      <c r="J172" s="319"/>
      <c r="K172" s="318"/>
      <c r="L172" s="320">
        <v>1</v>
      </c>
      <c r="M172" s="320"/>
      <c r="N172" s="320"/>
      <c r="O172" s="321"/>
      <c r="P172" s="320"/>
      <c r="Q172" s="321"/>
      <c r="R172" s="320"/>
      <c r="S172" s="321">
        <v>1.5</v>
      </c>
      <c r="T172" s="320"/>
      <c r="U172" s="321"/>
      <c r="V172" s="320"/>
      <c r="W172" s="321"/>
      <c r="X172" s="320"/>
      <c r="Y172" s="302"/>
      <c r="Z172" s="302"/>
      <c r="AA172" s="293"/>
    </row>
    <row r="173" spans="1:27" s="276" customFormat="1" ht="21.75" customHeight="1" x14ac:dyDescent="0.2">
      <c r="A173" s="281" t="s">
        <v>3</v>
      </c>
      <c r="B173" s="281"/>
      <c r="C173" s="281"/>
      <c r="D173" s="281"/>
      <c r="E173" s="281"/>
      <c r="F173" s="281"/>
      <c r="G173" s="281"/>
      <c r="H173" s="326">
        <f>SUM(H149:H172)</f>
        <v>0</v>
      </c>
      <c r="I173" s="326">
        <f t="shared" ref="I173:X173" si="6">SUM(I149:I172)</f>
        <v>0</v>
      </c>
      <c r="J173" s="326">
        <f t="shared" si="6"/>
        <v>0</v>
      </c>
      <c r="K173" s="326">
        <f t="shared" si="6"/>
        <v>0</v>
      </c>
      <c r="L173" s="326">
        <f t="shared" si="6"/>
        <v>10</v>
      </c>
      <c r="M173" s="326">
        <f t="shared" si="6"/>
        <v>0.78333333333333333</v>
      </c>
      <c r="N173" s="326">
        <f t="shared" si="6"/>
        <v>0</v>
      </c>
      <c r="O173" s="326">
        <f t="shared" si="6"/>
        <v>0</v>
      </c>
      <c r="P173" s="326">
        <f t="shared" si="6"/>
        <v>0</v>
      </c>
      <c r="Q173" s="326">
        <f t="shared" si="6"/>
        <v>0</v>
      </c>
      <c r="R173" s="326">
        <f t="shared" si="6"/>
        <v>0</v>
      </c>
      <c r="S173" s="326">
        <f t="shared" si="6"/>
        <v>12.5</v>
      </c>
      <c r="T173" s="326">
        <f t="shared" si="6"/>
        <v>0</v>
      </c>
      <c r="U173" s="326">
        <f t="shared" si="6"/>
        <v>0</v>
      </c>
      <c r="V173" s="326">
        <f t="shared" si="6"/>
        <v>0</v>
      </c>
      <c r="W173" s="326">
        <f t="shared" si="6"/>
        <v>0</v>
      </c>
      <c r="X173" s="326">
        <f t="shared" si="6"/>
        <v>0</v>
      </c>
      <c r="Y173" s="296"/>
      <c r="Z173" s="296"/>
      <c r="AA173" s="281"/>
    </row>
    <row r="174" spans="1:27" s="276" customFormat="1" ht="21.75" customHeight="1" thickBot="1" x14ac:dyDescent="0.25">
      <c r="H174" s="327"/>
      <c r="I174" s="327"/>
      <c r="J174" s="327"/>
      <c r="K174" s="327"/>
      <c r="L174" s="328"/>
      <c r="M174" s="328"/>
      <c r="N174" s="328"/>
      <c r="O174" s="328"/>
      <c r="P174" s="328"/>
      <c r="Q174" s="328"/>
      <c r="R174" s="328"/>
      <c r="S174" s="328"/>
      <c r="T174" s="328"/>
      <c r="U174" s="328"/>
      <c r="V174" s="328"/>
      <c r="W174" s="328"/>
      <c r="X174" s="328"/>
      <c r="Y174" s="304"/>
      <c r="Z174" s="304"/>
    </row>
    <row r="175" spans="1:27" s="276" customFormat="1" ht="21.75" customHeight="1" thickBot="1" x14ac:dyDescent="0.25">
      <c r="A175" s="297" t="s">
        <v>169</v>
      </c>
      <c r="B175" s="285" t="s">
        <v>189</v>
      </c>
      <c r="C175" s="285"/>
      <c r="D175" s="285"/>
      <c r="E175" s="285"/>
      <c r="F175" s="285"/>
      <c r="G175" s="285"/>
      <c r="H175" s="369" t="s">
        <v>91</v>
      </c>
      <c r="I175" s="370"/>
      <c r="J175" s="370"/>
      <c r="K175" s="371"/>
      <c r="L175" s="372" t="s">
        <v>90</v>
      </c>
      <c r="M175" s="374" t="s">
        <v>157</v>
      </c>
      <c r="N175" s="374" t="s">
        <v>158</v>
      </c>
      <c r="O175" s="376" t="s">
        <v>159</v>
      </c>
      <c r="P175" s="377"/>
      <c r="Q175" s="378"/>
      <c r="R175" s="374" t="s">
        <v>160</v>
      </c>
      <c r="S175" s="376" t="s">
        <v>19</v>
      </c>
      <c r="T175" s="377"/>
      <c r="U175" s="378"/>
      <c r="V175" s="374" t="s">
        <v>124</v>
      </c>
      <c r="W175" s="374" t="s">
        <v>125</v>
      </c>
      <c r="X175" s="363" t="s">
        <v>105</v>
      </c>
      <c r="Y175" s="296" t="s">
        <v>161</v>
      </c>
      <c r="Z175" s="296"/>
      <c r="AA175" s="281" t="s">
        <v>162</v>
      </c>
    </row>
    <row r="176" spans="1:27" s="276" customFormat="1" ht="21.75" customHeight="1" thickBot="1" x14ac:dyDescent="0.25">
      <c r="A176" s="297" t="s">
        <v>171</v>
      </c>
      <c r="B176" s="285" t="s">
        <v>190</v>
      </c>
      <c r="C176" s="285"/>
      <c r="D176" s="285"/>
      <c r="E176" s="285"/>
      <c r="F176" s="285"/>
      <c r="G176" s="285"/>
      <c r="H176" s="282" t="s">
        <v>165</v>
      </c>
      <c r="I176" s="282" t="s">
        <v>93</v>
      </c>
      <c r="J176" s="282" t="s">
        <v>94</v>
      </c>
      <c r="K176" s="283" t="s">
        <v>166</v>
      </c>
      <c r="L176" s="373"/>
      <c r="M176" s="375"/>
      <c r="N176" s="375"/>
      <c r="O176" s="284" t="s">
        <v>167</v>
      </c>
      <c r="P176" s="284" t="s">
        <v>168</v>
      </c>
      <c r="Q176" s="315" t="s">
        <v>125</v>
      </c>
      <c r="R176" s="375"/>
      <c r="S176" s="284" t="s">
        <v>167</v>
      </c>
      <c r="T176" s="284" t="s">
        <v>168</v>
      </c>
      <c r="U176" s="315" t="s">
        <v>125</v>
      </c>
      <c r="V176" s="375"/>
      <c r="W176" s="375"/>
      <c r="X176" s="364"/>
      <c r="Y176" s="296" t="s">
        <v>163</v>
      </c>
      <c r="Z176" s="296" t="s">
        <v>164</v>
      </c>
      <c r="AA176" s="281"/>
    </row>
    <row r="177" spans="1:27" s="276" customFormat="1" ht="21.75" customHeight="1" x14ac:dyDescent="0.2">
      <c r="A177" s="293" t="s">
        <v>216</v>
      </c>
      <c r="B177" s="287">
        <v>0.48125000000000001</v>
      </c>
      <c r="C177" s="287">
        <v>0.97986111111111107</v>
      </c>
      <c r="D177" s="287">
        <v>0.48125000000000001</v>
      </c>
      <c r="E177" s="287">
        <v>0.97986111111111107</v>
      </c>
      <c r="F177" s="288">
        <v>0.47916666666666669</v>
      </c>
      <c r="G177" s="288">
        <v>0.97916666666666663</v>
      </c>
      <c r="H177" s="318"/>
      <c r="I177" s="318"/>
      <c r="J177" s="319"/>
      <c r="K177" s="318"/>
      <c r="L177" s="320">
        <v>1</v>
      </c>
      <c r="M177" s="320"/>
      <c r="N177" s="320"/>
      <c r="O177" s="321"/>
      <c r="P177" s="320"/>
      <c r="Q177" s="321"/>
      <c r="R177" s="320"/>
      <c r="S177" s="321">
        <v>1.5</v>
      </c>
      <c r="T177" s="320"/>
      <c r="U177" s="321"/>
      <c r="V177" s="320"/>
      <c r="W177" s="321"/>
      <c r="X177" s="320"/>
      <c r="Y177" s="298">
        <v>0.33333333333333331</v>
      </c>
      <c r="Z177" s="298">
        <v>0.70833333333333337</v>
      </c>
      <c r="AA177" s="293" t="s">
        <v>250</v>
      </c>
    </row>
    <row r="178" spans="1:27" s="276" customFormat="1" ht="21.75" customHeight="1" x14ac:dyDescent="0.2">
      <c r="A178" s="294" t="s">
        <v>218</v>
      </c>
      <c r="B178" s="286">
        <v>0.4826388888888889</v>
      </c>
      <c r="C178" s="286">
        <v>0.59027777777777779</v>
      </c>
      <c r="D178" s="286">
        <v>0.4826388888888889</v>
      </c>
      <c r="E178" s="286">
        <v>0.59027777777777779</v>
      </c>
      <c r="F178" s="307">
        <v>0.47916666666666669</v>
      </c>
      <c r="G178" s="307">
        <v>0.59027777777777779</v>
      </c>
      <c r="H178" s="322"/>
      <c r="I178" s="322"/>
      <c r="J178" s="323"/>
      <c r="K178" s="322"/>
      <c r="L178" s="324"/>
      <c r="M178" s="324"/>
      <c r="N178" s="324"/>
      <c r="O178" s="325"/>
      <c r="P178" s="324"/>
      <c r="Q178" s="325"/>
      <c r="R178" s="324"/>
      <c r="S178" s="325"/>
      <c r="T178" s="324"/>
      <c r="U178" s="325"/>
      <c r="V178" s="324"/>
      <c r="W178" s="325"/>
      <c r="X178" s="324"/>
      <c r="Y178" s="299">
        <v>0.33333333333333331</v>
      </c>
      <c r="Z178" s="299">
        <v>0.70833333333333337</v>
      </c>
      <c r="AA178" s="294"/>
    </row>
    <row r="179" spans="1:27" s="276" customFormat="1" ht="21.75" customHeight="1" x14ac:dyDescent="0.2">
      <c r="A179" s="293" t="s">
        <v>218</v>
      </c>
      <c r="B179" s="287">
        <v>0.75486111111111109</v>
      </c>
      <c r="C179" s="287">
        <v>0.97986111111111107</v>
      </c>
      <c r="D179" s="287">
        <v>0.75486111111111109</v>
      </c>
      <c r="E179" s="287">
        <v>0.97986111111111107</v>
      </c>
      <c r="F179" s="288">
        <v>0.75694444444444453</v>
      </c>
      <c r="G179" s="288">
        <v>0.97916666666666663</v>
      </c>
      <c r="H179" s="318"/>
      <c r="I179" s="318"/>
      <c r="J179" s="319"/>
      <c r="K179" s="318"/>
      <c r="L179" s="320">
        <v>1</v>
      </c>
      <c r="M179" s="320"/>
      <c r="N179" s="320"/>
      <c r="O179" s="321"/>
      <c r="P179" s="320"/>
      <c r="Q179" s="321"/>
      <c r="R179" s="320"/>
      <c r="S179" s="321">
        <v>1.5</v>
      </c>
      <c r="T179" s="320"/>
      <c r="U179" s="321"/>
      <c r="V179" s="320"/>
      <c r="W179" s="321"/>
      <c r="X179" s="320"/>
      <c r="Y179" s="298">
        <v>0.33333333333333331</v>
      </c>
      <c r="Z179" s="298">
        <v>0.70833333333333337</v>
      </c>
      <c r="AA179" s="293"/>
    </row>
    <row r="180" spans="1:27" s="276" customFormat="1" ht="21.75" customHeight="1" x14ac:dyDescent="0.2">
      <c r="A180" s="294" t="s">
        <v>219</v>
      </c>
      <c r="B180" s="286">
        <v>0.41875000000000001</v>
      </c>
      <c r="C180" s="286">
        <v>0.59236111111111112</v>
      </c>
      <c r="D180" s="286">
        <v>0.41875000000000001</v>
      </c>
      <c r="E180" s="286">
        <v>0.59236111111111112</v>
      </c>
      <c r="F180" s="307">
        <v>0.41666666666666669</v>
      </c>
      <c r="G180" s="307">
        <v>0.59236111111111112</v>
      </c>
      <c r="H180" s="322"/>
      <c r="I180" s="322"/>
      <c r="J180" s="323"/>
      <c r="K180" s="322"/>
      <c r="L180" s="324"/>
      <c r="M180" s="324"/>
      <c r="N180" s="324"/>
      <c r="O180" s="325"/>
      <c r="P180" s="324"/>
      <c r="Q180" s="325"/>
      <c r="R180" s="324"/>
      <c r="S180" s="325"/>
      <c r="T180" s="324"/>
      <c r="U180" s="325"/>
      <c r="V180" s="324"/>
      <c r="W180" s="325"/>
      <c r="X180" s="324"/>
      <c r="Y180" s="299">
        <v>0.33333333333333331</v>
      </c>
      <c r="Z180" s="299">
        <v>0.70833333333333337</v>
      </c>
      <c r="AA180" s="294"/>
    </row>
    <row r="181" spans="1:27" s="276" customFormat="1" ht="21.75" customHeight="1" x14ac:dyDescent="0.2">
      <c r="A181" s="293" t="s">
        <v>219</v>
      </c>
      <c r="B181" s="287">
        <v>0.71597222222222223</v>
      </c>
      <c r="C181" s="287">
        <v>0.87569444444444444</v>
      </c>
      <c r="D181" s="287">
        <v>0.71597222222222223</v>
      </c>
      <c r="E181" s="287">
        <v>0.87569444444444444</v>
      </c>
      <c r="F181" s="288">
        <v>0.71736111111111101</v>
      </c>
      <c r="G181" s="288">
        <v>0.875</v>
      </c>
      <c r="H181" s="318"/>
      <c r="I181" s="318"/>
      <c r="J181" s="319"/>
      <c r="K181" s="318"/>
      <c r="L181" s="320">
        <v>1</v>
      </c>
      <c r="M181" s="320"/>
      <c r="N181" s="320"/>
      <c r="O181" s="321"/>
      <c r="P181" s="320"/>
      <c r="Q181" s="321"/>
      <c r="R181" s="320"/>
      <c r="S181" s="321"/>
      <c r="T181" s="320"/>
      <c r="U181" s="321"/>
      <c r="V181" s="320"/>
      <c r="W181" s="321"/>
      <c r="X181" s="320"/>
      <c r="Y181" s="298">
        <v>0.33333333333333331</v>
      </c>
      <c r="Z181" s="298">
        <v>0.70833333333333337</v>
      </c>
      <c r="AA181" s="293"/>
    </row>
    <row r="182" spans="1:27" s="276" customFormat="1" ht="21.75" customHeight="1" x14ac:dyDescent="0.2">
      <c r="A182" s="294" t="s">
        <v>220</v>
      </c>
      <c r="B182" s="289"/>
      <c r="C182" s="289"/>
      <c r="D182" s="290"/>
      <c r="E182" s="290"/>
      <c r="F182" s="366" t="s">
        <v>173</v>
      </c>
      <c r="G182" s="366"/>
      <c r="H182" s="322"/>
      <c r="I182" s="322"/>
      <c r="J182" s="323"/>
      <c r="K182" s="322"/>
      <c r="L182" s="324"/>
      <c r="M182" s="324"/>
      <c r="N182" s="324"/>
      <c r="O182" s="325"/>
      <c r="P182" s="324"/>
      <c r="Q182" s="325"/>
      <c r="R182" s="324"/>
      <c r="S182" s="325"/>
      <c r="T182" s="324"/>
      <c r="U182" s="325"/>
      <c r="V182" s="324"/>
      <c r="W182" s="325"/>
      <c r="X182" s="324"/>
      <c r="Y182" s="303"/>
      <c r="Z182" s="303"/>
      <c r="AA182" s="294"/>
    </row>
    <row r="183" spans="1:27" s="276" customFormat="1" ht="21.75" customHeight="1" x14ac:dyDescent="0.2">
      <c r="A183" s="294" t="s">
        <v>222</v>
      </c>
      <c r="B183" s="286">
        <v>0.47638888888888892</v>
      </c>
      <c r="C183" s="286">
        <v>0.59513888888888888</v>
      </c>
      <c r="D183" s="286">
        <v>0.47638888888888892</v>
      </c>
      <c r="E183" s="286">
        <v>0.59513888888888888</v>
      </c>
      <c r="F183" s="307">
        <v>0.47916666666666669</v>
      </c>
      <c r="G183" s="307">
        <v>0.59513888888888888</v>
      </c>
      <c r="H183" s="322"/>
      <c r="I183" s="322"/>
      <c r="J183" s="323"/>
      <c r="K183" s="322"/>
      <c r="L183" s="324"/>
      <c r="M183" s="324"/>
      <c r="N183" s="324"/>
      <c r="O183" s="325"/>
      <c r="P183" s="324"/>
      <c r="Q183" s="325"/>
      <c r="R183" s="324"/>
      <c r="S183" s="325"/>
      <c r="T183" s="324"/>
      <c r="U183" s="325"/>
      <c r="V183" s="324"/>
      <c r="W183" s="325"/>
      <c r="X183" s="324"/>
      <c r="Y183" s="299">
        <v>0.33333333333333331</v>
      </c>
      <c r="Z183" s="299">
        <v>0.70833333333333337</v>
      </c>
      <c r="AA183" s="294"/>
    </row>
    <row r="184" spans="1:27" s="276" customFormat="1" ht="21.75" customHeight="1" x14ac:dyDescent="0.2">
      <c r="A184" s="293" t="s">
        <v>222</v>
      </c>
      <c r="B184" s="287">
        <v>0.7597222222222223</v>
      </c>
      <c r="C184" s="287">
        <v>0.98055555555555562</v>
      </c>
      <c r="D184" s="287">
        <v>0.7597222222222223</v>
      </c>
      <c r="E184" s="287">
        <v>0.98055555555555562</v>
      </c>
      <c r="F184" s="288">
        <v>0.76180555555555562</v>
      </c>
      <c r="G184" s="288">
        <v>0.97916666666666663</v>
      </c>
      <c r="H184" s="318"/>
      <c r="I184" s="318"/>
      <c r="J184" s="319"/>
      <c r="K184" s="318"/>
      <c r="L184" s="320">
        <v>1</v>
      </c>
      <c r="M184" s="320"/>
      <c r="N184" s="320"/>
      <c r="O184" s="321"/>
      <c r="P184" s="320"/>
      <c r="Q184" s="321"/>
      <c r="R184" s="320"/>
      <c r="S184" s="321">
        <v>1.5</v>
      </c>
      <c r="T184" s="320"/>
      <c r="U184" s="321"/>
      <c r="V184" s="320"/>
      <c r="W184" s="321"/>
      <c r="X184" s="320"/>
      <c r="Y184" s="298">
        <v>0.33333333333333331</v>
      </c>
      <c r="Z184" s="298">
        <v>0.70833333333333337</v>
      </c>
      <c r="AA184" s="293"/>
    </row>
    <row r="185" spans="1:27" s="276" customFormat="1" ht="21.75" customHeight="1" x14ac:dyDescent="0.2">
      <c r="A185" s="293" t="s">
        <v>223</v>
      </c>
      <c r="B185" s="300"/>
      <c r="C185" s="300"/>
      <c r="D185" s="301"/>
      <c r="E185" s="301"/>
      <c r="F185" s="365" t="s">
        <v>224</v>
      </c>
      <c r="G185" s="365"/>
      <c r="H185" s="318"/>
      <c r="I185" s="318"/>
      <c r="J185" s="319"/>
      <c r="K185" s="318"/>
      <c r="L185" s="320"/>
      <c r="M185" s="320"/>
      <c r="N185" s="320"/>
      <c r="O185" s="321"/>
      <c r="P185" s="320"/>
      <c r="Q185" s="321"/>
      <c r="R185" s="320"/>
      <c r="S185" s="321"/>
      <c r="T185" s="320"/>
      <c r="U185" s="321"/>
      <c r="V185" s="320"/>
      <c r="W185" s="321"/>
      <c r="X185" s="320"/>
      <c r="Y185" s="302"/>
      <c r="Z185" s="302"/>
      <c r="AA185" s="293"/>
    </row>
    <row r="186" spans="1:27" s="276" customFormat="1" ht="21.75" customHeight="1" x14ac:dyDescent="0.2">
      <c r="A186" s="294" t="s">
        <v>225</v>
      </c>
      <c r="B186" s="289"/>
      <c r="C186" s="289"/>
      <c r="D186" s="290"/>
      <c r="E186" s="290"/>
      <c r="F186" s="366" t="s">
        <v>224</v>
      </c>
      <c r="G186" s="366"/>
      <c r="H186" s="322"/>
      <c r="I186" s="322"/>
      <c r="J186" s="323"/>
      <c r="K186" s="322"/>
      <c r="L186" s="324"/>
      <c r="M186" s="324"/>
      <c r="N186" s="324"/>
      <c r="O186" s="325"/>
      <c r="P186" s="324"/>
      <c r="Q186" s="325"/>
      <c r="R186" s="324"/>
      <c r="S186" s="325"/>
      <c r="T186" s="324"/>
      <c r="U186" s="325"/>
      <c r="V186" s="324"/>
      <c r="W186" s="325"/>
      <c r="X186" s="324"/>
      <c r="Y186" s="303"/>
      <c r="Z186" s="303"/>
      <c r="AA186" s="294"/>
    </row>
    <row r="187" spans="1:27" s="276" customFormat="1" ht="21.75" customHeight="1" x14ac:dyDescent="0.2">
      <c r="A187" s="294" t="s">
        <v>226</v>
      </c>
      <c r="B187" s="286">
        <v>0.4152777777777778</v>
      </c>
      <c r="C187" s="286">
        <v>0.60625000000000007</v>
      </c>
      <c r="D187" s="286">
        <v>0.4152777777777778</v>
      </c>
      <c r="E187" s="286">
        <v>0.60625000000000007</v>
      </c>
      <c r="F187" s="307">
        <v>0.41666666666666669</v>
      </c>
      <c r="G187" s="307">
        <v>0.60625000000000007</v>
      </c>
      <c r="H187" s="322"/>
      <c r="I187" s="322"/>
      <c r="J187" s="323"/>
      <c r="K187" s="322"/>
      <c r="L187" s="324"/>
      <c r="M187" s="324"/>
      <c r="N187" s="324"/>
      <c r="O187" s="325"/>
      <c r="P187" s="324"/>
      <c r="Q187" s="325"/>
      <c r="R187" s="324"/>
      <c r="S187" s="325"/>
      <c r="T187" s="324"/>
      <c r="U187" s="325"/>
      <c r="V187" s="324"/>
      <c r="W187" s="325"/>
      <c r="X187" s="324"/>
      <c r="Y187" s="299">
        <v>0.33333333333333331</v>
      </c>
      <c r="Z187" s="299">
        <v>0.70833333333333337</v>
      </c>
      <c r="AA187" s="294"/>
    </row>
    <row r="188" spans="1:27" s="276" customFormat="1" ht="21.75" customHeight="1" x14ac:dyDescent="0.2">
      <c r="A188" s="293" t="s">
        <v>226</v>
      </c>
      <c r="B188" s="287">
        <v>0.64583333333333337</v>
      </c>
      <c r="C188" s="287">
        <v>0.79236111111111107</v>
      </c>
      <c r="D188" s="287">
        <v>0.64583333333333337</v>
      </c>
      <c r="E188" s="287">
        <v>0.79236111111111107</v>
      </c>
      <c r="F188" s="288">
        <v>0.6479166666666667</v>
      </c>
      <c r="G188" s="288">
        <v>0.79166666666666663</v>
      </c>
      <c r="H188" s="318"/>
      <c r="I188" s="318"/>
      <c r="J188" s="319"/>
      <c r="K188" s="318"/>
      <c r="L188" s="320">
        <v>1</v>
      </c>
      <c r="M188" s="320"/>
      <c r="N188" s="320"/>
      <c r="O188" s="321"/>
      <c r="P188" s="320"/>
      <c r="Q188" s="321"/>
      <c r="R188" s="320"/>
      <c r="S188" s="321"/>
      <c r="T188" s="320"/>
      <c r="U188" s="321"/>
      <c r="V188" s="320"/>
      <c r="W188" s="321"/>
      <c r="X188" s="320"/>
      <c r="Y188" s="298">
        <v>0.33333333333333331</v>
      </c>
      <c r="Z188" s="298">
        <v>0.70833333333333337</v>
      </c>
      <c r="AA188" s="293"/>
    </row>
    <row r="189" spans="1:27" s="276" customFormat="1" ht="21.75" customHeight="1" x14ac:dyDescent="0.2">
      <c r="A189" s="293" t="s">
        <v>228</v>
      </c>
      <c r="B189" s="287">
        <v>0.41875000000000001</v>
      </c>
      <c r="C189" s="287">
        <v>0.59444444444444444</v>
      </c>
      <c r="D189" s="287">
        <v>0.41875000000000001</v>
      </c>
      <c r="E189" s="287">
        <v>0.59444444444444444</v>
      </c>
      <c r="F189" s="288">
        <v>0.41666666666666669</v>
      </c>
      <c r="G189" s="288">
        <v>0.59444444444444444</v>
      </c>
      <c r="H189" s="318"/>
      <c r="I189" s="318"/>
      <c r="J189" s="319"/>
      <c r="K189" s="318"/>
      <c r="L189" s="320"/>
      <c r="M189" s="320"/>
      <c r="N189" s="320"/>
      <c r="O189" s="321"/>
      <c r="P189" s="320"/>
      <c r="Q189" s="321"/>
      <c r="R189" s="320"/>
      <c r="S189" s="321"/>
      <c r="T189" s="320"/>
      <c r="U189" s="321"/>
      <c r="V189" s="320"/>
      <c r="W189" s="321"/>
      <c r="X189" s="320"/>
      <c r="Y189" s="298">
        <v>0.33333333333333331</v>
      </c>
      <c r="Z189" s="298">
        <v>0.70833333333333337</v>
      </c>
      <c r="AA189" s="293"/>
    </row>
    <row r="190" spans="1:27" s="276" customFormat="1" ht="21.75" customHeight="1" x14ac:dyDescent="0.2">
      <c r="A190" s="294" t="s">
        <v>228</v>
      </c>
      <c r="B190" s="286">
        <v>0.76041666666666663</v>
      </c>
      <c r="C190" s="286">
        <v>0.91666666666666663</v>
      </c>
      <c r="D190" s="286">
        <v>0.76041666666666663</v>
      </c>
      <c r="E190" s="286">
        <v>0.91666666666666663</v>
      </c>
      <c r="F190" s="307">
        <v>0.76111111111111107</v>
      </c>
      <c r="G190" s="307">
        <v>0.91666666666666663</v>
      </c>
      <c r="H190" s="322"/>
      <c r="I190" s="322"/>
      <c r="J190" s="323"/>
      <c r="K190" s="322"/>
      <c r="L190" s="324">
        <v>1</v>
      </c>
      <c r="M190" s="324"/>
      <c r="N190" s="324"/>
      <c r="O190" s="325"/>
      <c r="P190" s="324"/>
      <c r="Q190" s="325"/>
      <c r="R190" s="324"/>
      <c r="S190" s="325"/>
      <c r="T190" s="324"/>
      <c r="U190" s="325"/>
      <c r="V190" s="324"/>
      <c r="W190" s="325"/>
      <c r="X190" s="324"/>
      <c r="Y190" s="299">
        <v>0.33333333333333331</v>
      </c>
      <c r="Z190" s="299">
        <v>0.70833333333333337</v>
      </c>
      <c r="AA190" s="294"/>
    </row>
    <row r="191" spans="1:27" s="276" customFormat="1" ht="21.75" customHeight="1" x14ac:dyDescent="0.2">
      <c r="A191" s="293" t="s">
        <v>229</v>
      </c>
      <c r="B191" s="287">
        <v>0.42152777777777778</v>
      </c>
      <c r="C191" s="287">
        <v>0.58402777777777781</v>
      </c>
      <c r="D191" s="287">
        <v>0.42152777777777778</v>
      </c>
      <c r="E191" s="287">
        <v>0.58402777777777781</v>
      </c>
      <c r="F191" s="288">
        <v>0.41666666666666669</v>
      </c>
      <c r="G191" s="288">
        <v>0.58333333333333337</v>
      </c>
      <c r="H191" s="318"/>
      <c r="I191" s="318"/>
      <c r="J191" s="319"/>
      <c r="K191" s="318"/>
      <c r="L191" s="320"/>
      <c r="M191" s="320"/>
      <c r="N191" s="320"/>
      <c r="O191" s="321"/>
      <c r="P191" s="320"/>
      <c r="Q191" s="321"/>
      <c r="R191" s="320"/>
      <c r="S191" s="321"/>
      <c r="T191" s="320"/>
      <c r="U191" s="321"/>
      <c r="V191" s="320"/>
      <c r="W191" s="321"/>
      <c r="X191" s="320"/>
      <c r="Y191" s="298">
        <v>0.33333333333333331</v>
      </c>
      <c r="Z191" s="298">
        <v>0.70833333333333337</v>
      </c>
      <c r="AA191" s="293" t="s">
        <v>246</v>
      </c>
    </row>
    <row r="192" spans="1:27" s="276" customFormat="1" ht="21.75" customHeight="1" x14ac:dyDescent="0.2">
      <c r="A192" s="294" t="s">
        <v>229</v>
      </c>
      <c r="B192" s="286">
        <v>0.71250000000000002</v>
      </c>
      <c r="C192" s="286">
        <v>0.875</v>
      </c>
      <c r="D192" s="286">
        <v>0.71250000000000002</v>
      </c>
      <c r="E192" s="286">
        <v>0.875</v>
      </c>
      <c r="F192" s="307">
        <v>0.70833333333333337</v>
      </c>
      <c r="G192" s="307">
        <v>0.875</v>
      </c>
      <c r="H192" s="322"/>
      <c r="I192" s="322"/>
      <c r="J192" s="323"/>
      <c r="K192" s="322"/>
      <c r="L192" s="324">
        <v>1</v>
      </c>
      <c r="M192" s="324">
        <f>(7+5)/60</f>
        <v>0.2</v>
      </c>
      <c r="N192" s="324"/>
      <c r="O192" s="325"/>
      <c r="P192" s="324"/>
      <c r="Q192" s="325"/>
      <c r="R192" s="324"/>
      <c r="S192" s="325"/>
      <c r="T192" s="324"/>
      <c r="U192" s="325"/>
      <c r="V192" s="324"/>
      <c r="W192" s="325"/>
      <c r="X192" s="324"/>
      <c r="Y192" s="299">
        <v>0.33333333333333331</v>
      </c>
      <c r="Z192" s="299">
        <v>0.70833333333333337</v>
      </c>
      <c r="AA192" s="294"/>
    </row>
    <row r="193" spans="1:27" s="276" customFormat="1" ht="21.75" customHeight="1" x14ac:dyDescent="0.2">
      <c r="A193" s="293" t="s">
        <v>231</v>
      </c>
      <c r="B193" s="300"/>
      <c r="C193" s="300"/>
      <c r="D193" s="301"/>
      <c r="E193" s="301"/>
      <c r="F193" s="365" t="s">
        <v>173</v>
      </c>
      <c r="G193" s="365"/>
      <c r="H193" s="318"/>
      <c r="I193" s="318"/>
      <c r="J193" s="319"/>
      <c r="K193" s="318"/>
      <c r="L193" s="320"/>
      <c r="M193" s="320"/>
      <c r="N193" s="320"/>
      <c r="O193" s="321"/>
      <c r="P193" s="320"/>
      <c r="Q193" s="321"/>
      <c r="R193" s="320"/>
      <c r="S193" s="321"/>
      <c r="T193" s="320"/>
      <c r="U193" s="321"/>
      <c r="V193" s="320"/>
      <c r="W193" s="321"/>
      <c r="X193" s="320"/>
      <c r="Y193" s="302"/>
      <c r="Z193" s="302"/>
      <c r="AA193" s="293"/>
    </row>
    <row r="194" spans="1:27" s="276" customFormat="1" ht="21.75" customHeight="1" x14ac:dyDescent="0.2">
      <c r="A194" s="293" t="s">
        <v>232</v>
      </c>
      <c r="B194" s="287">
        <v>0.41666666666666669</v>
      </c>
      <c r="C194" s="287">
        <v>0.58888888888888891</v>
      </c>
      <c r="D194" s="287">
        <v>0.41666666666666669</v>
      </c>
      <c r="E194" s="287">
        <v>0.58888888888888891</v>
      </c>
      <c r="F194" s="288">
        <v>0.41666666666666669</v>
      </c>
      <c r="G194" s="288">
        <v>0.58888888888888891</v>
      </c>
      <c r="H194" s="318"/>
      <c r="I194" s="318"/>
      <c r="J194" s="319"/>
      <c r="K194" s="318"/>
      <c r="L194" s="320"/>
      <c r="M194" s="320"/>
      <c r="N194" s="320"/>
      <c r="O194" s="321"/>
      <c r="P194" s="320"/>
      <c r="Q194" s="321"/>
      <c r="R194" s="320"/>
      <c r="S194" s="321"/>
      <c r="T194" s="320"/>
      <c r="U194" s="321"/>
      <c r="V194" s="320"/>
      <c r="W194" s="321"/>
      <c r="X194" s="320"/>
      <c r="Y194" s="298">
        <v>0.33333333333333331</v>
      </c>
      <c r="Z194" s="298">
        <v>0.70833333333333337</v>
      </c>
      <c r="AA194" s="293"/>
    </row>
    <row r="195" spans="1:27" s="276" customFormat="1" ht="21.75" customHeight="1" x14ac:dyDescent="0.2">
      <c r="A195" s="294" t="s">
        <v>232</v>
      </c>
      <c r="B195" s="286">
        <v>0.62708333333333333</v>
      </c>
      <c r="C195" s="286">
        <v>0.79375000000000007</v>
      </c>
      <c r="D195" s="286">
        <v>0.62708333333333333</v>
      </c>
      <c r="E195" s="286">
        <v>0.79375000000000007</v>
      </c>
      <c r="F195" s="307">
        <v>0.63055555555555554</v>
      </c>
      <c r="G195" s="307">
        <v>0.79166666666666663</v>
      </c>
      <c r="H195" s="322"/>
      <c r="I195" s="322"/>
      <c r="J195" s="323"/>
      <c r="K195" s="322"/>
      <c r="L195" s="324">
        <v>1</v>
      </c>
      <c r="M195" s="324"/>
      <c r="N195" s="324"/>
      <c r="O195" s="325"/>
      <c r="P195" s="324"/>
      <c r="Q195" s="325"/>
      <c r="R195" s="324"/>
      <c r="S195" s="325"/>
      <c r="T195" s="324"/>
      <c r="U195" s="325"/>
      <c r="V195" s="324"/>
      <c r="W195" s="325"/>
      <c r="X195" s="324"/>
      <c r="Y195" s="299">
        <v>0.33333333333333331</v>
      </c>
      <c r="Z195" s="299">
        <v>0.70833333333333337</v>
      </c>
      <c r="AA195" s="294"/>
    </row>
    <row r="196" spans="1:27" s="276" customFormat="1" ht="21.75" customHeight="1" x14ac:dyDescent="0.2">
      <c r="A196" s="293" t="s">
        <v>233</v>
      </c>
      <c r="B196" s="287">
        <v>0.42569444444444443</v>
      </c>
      <c r="C196" s="287">
        <v>0.59375</v>
      </c>
      <c r="D196" s="287">
        <v>0.42569444444444443</v>
      </c>
      <c r="E196" s="287">
        <v>0.59375</v>
      </c>
      <c r="F196" s="379"/>
      <c r="G196" s="379"/>
      <c r="H196" s="318"/>
      <c r="I196" s="318"/>
      <c r="J196" s="319"/>
      <c r="K196" s="318"/>
      <c r="L196" s="320"/>
      <c r="M196" s="320"/>
      <c r="N196" s="320"/>
      <c r="O196" s="321"/>
      <c r="P196" s="320"/>
      <c r="Q196" s="321"/>
      <c r="R196" s="320"/>
      <c r="S196" s="321"/>
      <c r="T196" s="320"/>
      <c r="U196" s="321"/>
      <c r="V196" s="320"/>
      <c r="W196" s="321"/>
      <c r="X196" s="320"/>
      <c r="Y196" s="298">
        <v>0.33333333333333331</v>
      </c>
      <c r="Z196" s="298">
        <v>0.70833333333333337</v>
      </c>
      <c r="AA196" s="293"/>
    </row>
    <row r="197" spans="1:27" s="276" customFormat="1" ht="21.75" customHeight="1" x14ac:dyDescent="0.2">
      <c r="A197" s="294" t="s">
        <v>233</v>
      </c>
      <c r="B197" s="286">
        <v>0.63541666666666663</v>
      </c>
      <c r="C197" s="289"/>
      <c r="D197" s="286">
        <v>0.63541666666666663</v>
      </c>
      <c r="E197" s="290"/>
      <c r="F197" s="382" t="s">
        <v>251</v>
      </c>
      <c r="G197" s="381"/>
      <c r="H197" s="322"/>
      <c r="I197" s="322"/>
      <c r="J197" s="323"/>
      <c r="K197" s="322"/>
      <c r="L197" s="324">
        <v>1</v>
      </c>
      <c r="M197" s="324">
        <f>13/60</f>
        <v>0.21666666666666667</v>
      </c>
      <c r="N197" s="324"/>
      <c r="O197" s="325"/>
      <c r="P197" s="324"/>
      <c r="Q197" s="325"/>
      <c r="R197" s="324"/>
      <c r="S197" s="325"/>
      <c r="T197" s="324"/>
      <c r="U197" s="325"/>
      <c r="V197" s="324"/>
      <c r="W197" s="325"/>
      <c r="X197" s="324"/>
      <c r="Y197" s="299">
        <v>0.33333333333333331</v>
      </c>
      <c r="Z197" s="299">
        <v>0.70833333333333337</v>
      </c>
      <c r="AA197" s="294"/>
    </row>
    <row r="198" spans="1:27" s="276" customFormat="1" ht="21.75" customHeight="1" x14ac:dyDescent="0.2">
      <c r="A198" s="294" t="s">
        <v>234</v>
      </c>
      <c r="B198" s="289"/>
      <c r="C198" s="289"/>
      <c r="D198" s="290"/>
      <c r="E198" s="290"/>
      <c r="F198" s="380" t="s">
        <v>251</v>
      </c>
      <c r="G198" s="366"/>
      <c r="H198" s="322"/>
      <c r="I198" s="322"/>
      <c r="J198" s="323"/>
      <c r="K198" s="322"/>
      <c r="L198" s="324">
        <v>1</v>
      </c>
      <c r="M198" s="324"/>
      <c r="N198" s="324"/>
      <c r="O198" s="325"/>
      <c r="P198" s="324"/>
      <c r="Q198" s="325"/>
      <c r="R198" s="324"/>
      <c r="S198" s="325"/>
      <c r="T198" s="324"/>
      <c r="U198" s="325"/>
      <c r="V198" s="324"/>
      <c r="W198" s="325"/>
      <c r="X198" s="324"/>
      <c r="Y198" s="303"/>
      <c r="Z198" s="303"/>
      <c r="AA198" s="294"/>
    </row>
    <row r="199" spans="1:27" s="276" customFormat="1" ht="21.75" customHeight="1" x14ac:dyDescent="0.2">
      <c r="A199" s="293" t="s">
        <v>236</v>
      </c>
      <c r="B199" s="300"/>
      <c r="C199" s="300"/>
      <c r="D199" s="301"/>
      <c r="E199" s="301"/>
      <c r="F199" s="383" t="s">
        <v>251</v>
      </c>
      <c r="G199" s="365"/>
      <c r="H199" s="318"/>
      <c r="I199" s="318"/>
      <c r="J199" s="319"/>
      <c r="K199" s="318"/>
      <c r="L199" s="320">
        <v>1</v>
      </c>
      <c r="M199" s="320"/>
      <c r="N199" s="320"/>
      <c r="O199" s="321"/>
      <c r="P199" s="320"/>
      <c r="Q199" s="321"/>
      <c r="R199" s="320"/>
      <c r="S199" s="321"/>
      <c r="T199" s="320"/>
      <c r="U199" s="321"/>
      <c r="V199" s="320"/>
      <c r="W199" s="321"/>
      <c r="X199" s="320"/>
      <c r="Y199" s="302"/>
      <c r="Z199" s="302"/>
      <c r="AA199" s="293"/>
    </row>
    <row r="200" spans="1:27" s="276" customFormat="1" ht="21.75" customHeight="1" x14ac:dyDescent="0.2">
      <c r="A200" s="294" t="s">
        <v>237</v>
      </c>
      <c r="B200" s="289"/>
      <c r="C200" s="289"/>
      <c r="D200" s="290"/>
      <c r="E200" s="290"/>
      <c r="F200" s="380" t="s">
        <v>251</v>
      </c>
      <c r="G200" s="366"/>
      <c r="H200" s="322"/>
      <c r="I200" s="322"/>
      <c r="J200" s="323"/>
      <c r="K200" s="322"/>
      <c r="L200" s="324">
        <v>1</v>
      </c>
      <c r="M200" s="324"/>
      <c r="N200" s="324"/>
      <c r="O200" s="325"/>
      <c r="P200" s="324"/>
      <c r="Q200" s="325"/>
      <c r="R200" s="324"/>
      <c r="S200" s="325"/>
      <c r="T200" s="324"/>
      <c r="U200" s="325"/>
      <c r="V200" s="324"/>
      <c r="W200" s="325"/>
      <c r="X200" s="324"/>
      <c r="Y200" s="303"/>
      <c r="Z200" s="303"/>
      <c r="AA200" s="294"/>
    </row>
    <row r="201" spans="1:27" s="276" customFormat="1" ht="21.75" customHeight="1" x14ac:dyDescent="0.2">
      <c r="A201" s="281" t="s">
        <v>3</v>
      </c>
      <c r="B201" s="281"/>
      <c r="C201" s="281"/>
      <c r="D201" s="281"/>
      <c r="E201" s="281"/>
      <c r="F201" s="281"/>
      <c r="G201" s="281"/>
      <c r="H201" s="326">
        <f>SUM(H176:H200)</f>
        <v>0</v>
      </c>
      <c r="I201" s="326">
        <f t="shared" ref="I201:X201" si="7">SUM(I176:I200)</f>
        <v>0</v>
      </c>
      <c r="J201" s="326">
        <f t="shared" si="7"/>
        <v>0</v>
      </c>
      <c r="K201" s="326">
        <f t="shared" si="7"/>
        <v>0</v>
      </c>
      <c r="L201" s="326">
        <f t="shared" si="7"/>
        <v>12</v>
      </c>
      <c r="M201" s="326">
        <f t="shared" si="7"/>
        <v>0.41666666666666669</v>
      </c>
      <c r="N201" s="326">
        <f t="shared" si="7"/>
        <v>0</v>
      </c>
      <c r="O201" s="326">
        <f t="shared" si="7"/>
        <v>0</v>
      </c>
      <c r="P201" s="326">
        <f t="shared" si="7"/>
        <v>0</v>
      </c>
      <c r="Q201" s="326">
        <f t="shared" si="7"/>
        <v>0</v>
      </c>
      <c r="R201" s="326">
        <f t="shared" si="7"/>
        <v>0</v>
      </c>
      <c r="S201" s="326">
        <f t="shared" si="7"/>
        <v>4.5</v>
      </c>
      <c r="T201" s="326">
        <f t="shared" si="7"/>
        <v>0</v>
      </c>
      <c r="U201" s="326">
        <f t="shared" si="7"/>
        <v>0</v>
      </c>
      <c r="V201" s="326">
        <f t="shared" si="7"/>
        <v>0</v>
      </c>
      <c r="W201" s="326">
        <f t="shared" si="7"/>
        <v>0</v>
      </c>
      <c r="X201" s="326">
        <f t="shared" si="7"/>
        <v>0</v>
      </c>
      <c r="Y201" s="296"/>
      <c r="Z201" s="296"/>
      <c r="AA201" s="281"/>
    </row>
    <row r="202" spans="1:27" s="276" customFormat="1" ht="21.75" customHeight="1" thickBot="1" x14ac:dyDescent="0.25">
      <c r="H202" s="327"/>
      <c r="I202" s="327"/>
      <c r="J202" s="327"/>
      <c r="K202" s="327"/>
      <c r="L202" s="328"/>
      <c r="M202" s="328"/>
      <c r="N202" s="328"/>
      <c r="O202" s="328"/>
      <c r="P202" s="328"/>
      <c r="Q202" s="328"/>
      <c r="R202" s="328"/>
      <c r="S202" s="328"/>
      <c r="T202" s="328"/>
      <c r="U202" s="328"/>
      <c r="V202" s="328"/>
      <c r="W202" s="328"/>
      <c r="X202" s="328"/>
      <c r="Y202" s="304"/>
      <c r="Z202" s="304"/>
    </row>
    <row r="203" spans="1:27" s="276" customFormat="1" ht="21.75" customHeight="1" thickBot="1" x14ac:dyDescent="0.25">
      <c r="A203" s="297" t="s">
        <v>169</v>
      </c>
      <c r="B203" s="285" t="s">
        <v>191</v>
      </c>
      <c r="C203" s="285"/>
      <c r="D203" s="285"/>
      <c r="E203" s="285"/>
      <c r="F203" s="285"/>
      <c r="G203" s="285"/>
      <c r="H203" s="369" t="s">
        <v>91</v>
      </c>
      <c r="I203" s="370"/>
      <c r="J203" s="370"/>
      <c r="K203" s="371"/>
      <c r="L203" s="372" t="s">
        <v>90</v>
      </c>
      <c r="M203" s="374" t="s">
        <v>157</v>
      </c>
      <c r="N203" s="374" t="s">
        <v>158</v>
      </c>
      <c r="O203" s="376" t="s">
        <v>159</v>
      </c>
      <c r="P203" s="377"/>
      <c r="Q203" s="378"/>
      <c r="R203" s="374" t="s">
        <v>160</v>
      </c>
      <c r="S203" s="376" t="s">
        <v>19</v>
      </c>
      <c r="T203" s="377"/>
      <c r="U203" s="378"/>
      <c r="V203" s="374" t="s">
        <v>124</v>
      </c>
      <c r="W203" s="374" t="s">
        <v>125</v>
      </c>
      <c r="X203" s="363" t="s">
        <v>105</v>
      </c>
      <c r="Y203" s="296" t="s">
        <v>161</v>
      </c>
      <c r="Z203" s="296"/>
      <c r="AA203" s="281" t="s">
        <v>162</v>
      </c>
    </row>
    <row r="204" spans="1:27" s="276" customFormat="1" ht="21.75" customHeight="1" thickBot="1" x14ac:dyDescent="0.25">
      <c r="A204" s="297" t="s">
        <v>171</v>
      </c>
      <c r="B204" s="285" t="s">
        <v>192</v>
      </c>
      <c r="C204" s="285"/>
      <c r="D204" s="285"/>
      <c r="E204" s="285"/>
      <c r="F204" s="285"/>
      <c r="G204" s="285"/>
      <c r="H204" s="282" t="s">
        <v>165</v>
      </c>
      <c r="I204" s="282" t="s">
        <v>93</v>
      </c>
      <c r="J204" s="282" t="s">
        <v>94</v>
      </c>
      <c r="K204" s="283" t="s">
        <v>166</v>
      </c>
      <c r="L204" s="373"/>
      <c r="M204" s="375"/>
      <c r="N204" s="375"/>
      <c r="O204" s="284" t="s">
        <v>167</v>
      </c>
      <c r="P204" s="284" t="s">
        <v>168</v>
      </c>
      <c r="Q204" s="315" t="s">
        <v>125</v>
      </c>
      <c r="R204" s="375"/>
      <c r="S204" s="284" t="s">
        <v>167</v>
      </c>
      <c r="T204" s="284" t="s">
        <v>168</v>
      </c>
      <c r="U204" s="315" t="s">
        <v>125</v>
      </c>
      <c r="V204" s="375"/>
      <c r="W204" s="375"/>
      <c r="X204" s="364"/>
      <c r="Y204" s="296" t="s">
        <v>163</v>
      </c>
      <c r="Z204" s="296" t="s">
        <v>164</v>
      </c>
      <c r="AA204" s="281"/>
    </row>
    <row r="205" spans="1:27" s="276" customFormat="1" ht="21.75" customHeight="1" x14ac:dyDescent="0.2">
      <c r="A205" s="293" t="s">
        <v>216</v>
      </c>
      <c r="B205" s="287">
        <v>0.37291666666666662</v>
      </c>
      <c r="C205" s="287">
        <v>0.58680555555555558</v>
      </c>
      <c r="D205" s="287">
        <v>0.37291666666666662</v>
      </c>
      <c r="E205" s="287">
        <v>0.58680555555555558</v>
      </c>
      <c r="F205" s="288">
        <v>0.375</v>
      </c>
      <c r="G205" s="288">
        <v>0.58680555555555558</v>
      </c>
      <c r="H205" s="318"/>
      <c r="I205" s="318"/>
      <c r="J205" s="319"/>
      <c r="K205" s="318"/>
      <c r="L205" s="320"/>
      <c r="M205" s="320"/>
      <c r="N205" s="320"/>
      <c r="O205" s="321"/>
      <c r="P205" s="320"/>
      <c r="Q205" s="321"/>
      <c r="R205" s="320"/>
      <c r="S205" s="321"/>
      <c r="T205" s="320"/>
      <c r="U205" s="321"/>
      <c r="V205" s="320"/>
      <c r="W205" s="321"/>
      <c r="X205" s="320"/>
      <c r="Y205" s="298">
        <v>0.33333333333333331</v>
      </c>
      <c r="Z205" s="298">
        <v>0.75</v>
      </c>
      <c r="AA205" s="293"/>
    </row>
    <row r="206" spans="1:27" s="276" customFormat="1" ht="21.75" customHeight="1" x14ac:dyDescent="0.2">
      <c r="A206" s="294" t="s">
        <v>216</v>
      </c>
      <c r="B206" s="286">
        <v>0.62361111111111112</v>
      </c>
      <c r="C206" s="286">
        <v>0.75069444444444444</v>
      </c>
      <c r="D206" s="286">
        <v>0.62361111111111112</v>
      </c>
      <c r="E206" s="286">
        <v>0.75069444444444444</v>
      </c>
      <c r="F206" s="307">
        <v>0.62847222222222221</v>
      </c>
      <c r="G206" s="286">
        <v>0.75</v>
      </c>
      <c r="H206" s="322"/>
      <c r="I206" s="322"/>
      <c r="J206" s="323"/>
      <c r="K206" s="322"/>
      <c r="L206" s="324">
        <v>1</v>
      </c>
      <c r="M206" s="324"/>
      <c r="N206" s="324"/>
      <c r="O206" s="325"/>
      <c r="P206" s="324"/>
      <c r="Q206" s="325"/>
      <c r="R206" s="324"/>
      <c r="S206" s="325"/>
      <c r="T206" s="324"/>
      <c r="U206" s="325"/>
      <c r="V206" s="324"/>
      <c r="W206" s="325"/>
      <c r="X206" s="324"/>
      <c r="Y206" s="299">
        <v>0.33333333333333331</v>
      </c>
      <c r="Z206" s="299">
        <v>0.75</v>
      </c>
      <c r="AA206" s="294"/>
    </row>
    <row r="207" spans="1:27" s="276" customFormat="1" ht="21.75" customHeight="1" x14ac:dyDescent="0.2">
      <c r="A207" s="293" t="s">
        <v>218</v>
      </c>
      <c r="B207" s="287">
        <v>0.3743055555555555</v>
      </c>
      <c r="C207" s="287">
        <v>0.62361111111111112</v>
      </c>
      <c r="D207" s="287">
        <v>0.3743055555555555</v>
      </c>
      <c r="E207" s="287">
        <v>0.62361111111111112</v>
      </c>
      <c r="F207" s="288">
        <v>0.375</v>
      </c>
      <c r="G207" s="288">
        <v>0.62361111111111112</v>
      </c>
      <c r="H207" s="318"/>
      <c r="I207" s="318"/>
      <c r="J207" s="319"/>
      <c r="K207" s="318"/>
      <c r="L207" s="320"/>
      <c r="M207" s="320"/>
      <c r="N207" s="320"/>
      <c r="O207" s="321"/>
      <c r="P207" s="320"/>
      <c r="Q207" s="321"/>
      <c r="R207" s="320"/>
      <c r="S207" s="321"/>
      <c r="T207" s="320"/>
      <c r="U207" s="321"/>
      <c r="V207" s="320"/>
      <c r="W207" s="321"/>
      <c r="X207" s="320"/>
      <c r="Y207" s="298">
        <v>0.33333333333333331</v>
      </c>
      <c r="Z207" s="298">
        <v>0.75</v>
      </c>
      <c r="AA207" s="293"/>
    </row>
    <row r="208" spans="1:27" s="276" customFormat="1" ht="21.75" customHeight="1" x14ac:dyDescent="0.2">
      <c r="A208" s="294" t="s">
        <v>218</v>
      </c>
      <c r="B208" s="286">
        <v>0.72152777777777777</v>
      </c>
      <c r="C208" s="286">
        <v>0.75069444444444444</v>
      </c>
      <c r="D208" s="307">
        <v>0.6381944444444444</v>
      </c>
      <c r="E208" s="286">
        <v>0.75069444444444444</v>
      </c>
      <c r="F208" s="307">
        <v>0.66527777777777775</v>
      </c>
      <c r="G208" s="286">
        <v>0.75</v>
      </c>
      <c r="H208" s="322"/>
      <c r="I208" s="322"/>
      <c r="J208" s="323"/>
      <c r="K208" s="322"/>
      <c r="L208" s="324">
        <v>1</v>
      </c>
      <c r="M208" s="324"/>
      <c r="N208" s="324"/>
      <c r="O208" s="325"/>
      <c r="P208" s="324"/>
      <c r="Q208" s="325"/>
      <c r="R208" s="324"/>
      <c r="S208" s="325"/>
      <c r="T208" s="324"/>
      <c r="U208" s="325"/>
      <c r="V208" s="324"/>
      <c r="W208" s="325"/>
      <c r="X208" s="324"/>
      <c r="Y208" s="299">
        <v>0.33333333333333331</v>
      </c>
      <c r="Z208" s="299">
        <v>0.75</v>
      </c>
      <c r="AA208" s="294" t="s">
        <v>252</v>
      </c>
    </row>
    <row r="209" spans="1:27" s="276" customFormat="1" ht="21.75" customHeight="1" x14ac:dyDescent="0.2">
      <c r="A209" s="293" t="s">
        <v>219</v>
      </c>
      <c r="B209" s="287">
        <v>0.42152777777777778</v>
      </c>
      <c r="C209" s="287">
        <v>0.63194444444444442</v>
      </c>
      <c r="D209" s="287">
        <v>0.42152777777777778</v>
      </c>
      <c r="E209" s="287">
        <v>0.63194444444444442</v>
      </c>
      <c r="F209" s="288">
        <v>0.41666666666666669</v>
      </c>
      <c r="G209" s="288">
        <v>0.79166666666666663</v>
      </c>
      <c r="H209" s="318">
        <v>0.5</v>
      </c>
      <c r="I209" s="318"/>
      <c r="J209" s="319"/>
      <c r="K209" s="318"/>
      <c r="L209" s="330">
        <v>0.5</v>
      </c>
      <c r="M209" s="320"/>
      <c r="N209" s="320"/>
      <c r="O209" s="321"/>
      <c r="P209" s="320"/>
      <c r="Q209" s="321"/>
      <c r="R209" s="320"/>
      <c r="S209" s="321"/>
      <c r="T209" s="320"/>
      <c r="U209" s="321"/>
      <c r="V209" s="320"/>
      <c r="W209" s="321"/>
      <c r="X209" s="320"/>
      <c r="Y209" s="298">
        <v>0.33333333333333331</v>
      </c>
      <c r="Z209" s="298">
        <v>0.75</v>
      </c>
      <c r="AA209" s="293" t="s">
        <v>202</v>
      </c>
    </row>
    <row r="210" spans="1:27" s="276" customFormat="1" ht="21.75" customHeight="1" x14ac:dyDescent="0.2">
      <c r="A210" s="294" t="s">
        <v>220</v>
      </c>
      <c r="B210" s="289"/>
      <c r="C210" s="289"/>
      <c r="D210" s="290"/>
      <c r="E210" s="290"/>
      <c r="F210" s="366" t="s">
        <v>173</v>
      </c>
      <c r="G210" s="366"/>
      <c r="H210" s="322"/>
      <c r="I210" s="322"/>
      <c r="J210" s="323"/>
      <c r="K210" s="322"/>
      <c r="L210" s="324"/>
      <c r="M210" s="324"/>
      <c r="N210" s="324"/>
      <c r="O210" s="325"/>
      <c r="P210" s="324"/>
      <c r="Q210" s="325"/>
      <c r="R210" s="324"/>
      <c r="S210" s="325"/>
      <c r="T210" s="324"/>
      <c r="U210" s="325"/>
      <c r="V210" s="324"/>
      <c r="W210" s="325"/>
      <c r="X210" s="324"/>
      <c r="Y210" s="303"/>
      <c r="Z210" s="303"/>
      <c r="AA210" s="294"/>
    </row>
    <row r="211" spans="1:27" s="276" customFormat="1" ht="21.75" customHeight="1" x14ac:dyDescent="0.2">
      <c r="A211" s="294" t="s">
        <v>222</v>
      </c>
      <c r="B211" s="286">
        <v>0.47638888888888892</v>
      </c>
      <c r="C211" s="286">
        <v>0.62916666666666665</v>
      </c>
      <c r="D211" s="286">
        <v>0.47638888888888892</v>
      </c>
      <c r="E211" s="286">
        <v>0.62916666666666665</v>
      </c>
      <c r="F211" s="307">
        <v>0.47916666666666669</v>
      </c>
      <c r="G211" s="307">
        <v>0.62916666666666665</v>
      </c>
      <c r="H211" s="322"/>
      <c r="I211" s="322"/>
      <c r="J211" s="323"/>
      <c r="K211" s="322"/>
      <c r="L211" s="324"/>
      <c r="M211" s="324"/>
      <c r="N211" s="324"/>
      <c r="O211" s="325"/>
      <c r="P211" s="324"/>
      <c r="Q211" s="325"/>
      <c r="R211" s="324"/>
      <c r="S211" s="325"/>
      <c r="T211" s="324"/>
      <c r="U211" s="325"/>
      <c r="V211" s="324"/>
      <c r="W211" s="325"/>
      <c r="X211" s="324"/>
      <c r="Y211" s="299">
        <v>0.33333333333333331</v>
      </c>
      <c r="Z211" s="299">
        <v>0.75</v>
      </c>
      <c r="AA211" s="294"/>
    </row>
    <row r="212" spans="1:27" s="276" customFormat="1" ht="21.75" customHeight="1" x14ac:dyDescent="0.2">
      <c r="A212" s="293" t="s">
        <v>222</v>
      </c>
      <c r="B212" s="287">
        <v>0.74722222222222223</v>
      </c>
      <c r="C212" s="287">
        <v>0.97916666666666663</v>
      </c>
      <c r="D212" s="287">
        <v>0.74722222222222223</v>
      </c>
      <c r="E212" s="287">
        <v>0.97916666666666663</v>
      </c>
      <c r="F212" s="288">
        <v>0.79583333333333339</v>
      </c>
      <c r="G212" s="288">
        <v>0.97916666666666663</v>
      </c>
      <c r="H212" s="318"/>
      <c r="I212" s="318"/>
      <c r="J212" s="319"/>
      <c r="K212" s="318"/>
      <c r="L212" s="320">
        <v>1</v>
      </c>
      <c r="M212" s="320"/>
      <c r="N212" s="320"/>
      <c r="O212" s="321"/>
      <c r="P212" s="320"/>
      <c r="Q212" s="321"/>
      <c r="R212" s="320"/>
      <c r="S212" s="321">
        <v>1.5</v>
      </c>
      <c r="T212" s="320"/>
      <c r="U212" s="321"/>
      <c r="V212" s="320"/>
      <c r="W212" s="321"/>
      <c r="X212" s="320"/>
      <c r="Y212" s="298">
        <v>0.33333333333333331</v>
      </c>
      <c r="Z212" s="298">
        <v>0.75</v>
      </c>
      <c r="AA212" s="293"/>
    </row>
    <row r="213" spans="1:27" s="276" customFormat="1" ht="21.75" customHeight="1" x14ac:dyDescent="0.2">
      <c r="A213" s="293" t="s">
        <v>223</v>
      </c>
      <c r="B213" s="300"/>
      <c r="C213" s="300"/>
      <c r="D213" s="301"/>
      <c r="E213" s="301"/>
      <c r="F213" s="365" t="s">
        <v>224</v>
      </c>
      <c r="G213" s="365"/>
      <c r="H213" s="318"/>
      <c r="I213" s="318"/>
      <c r="J213" s="319"/>
      <c r="K213" s="318"/>
      <c r="L213" s="320"/>
      <c r="M213" s="320"/>
      <c r="N213" s="320"/>
      <c r="O213" s="321"/>
      <c r="P213" s="320"/>
      <c r="Q213" s="321"/>
      <c r="R213" s="320"/>
      <c r="S213" s="321"/>
      <c r="T213" s="320"/>
      <c r="U213" s="321"/>
      <c r="V213" s="320"/>
      <c r="W213" s="321"/>
      <c r="X213" s="320"/>
      <c r="Y213" s="302"/>
      <c r="Z213" s="302"/>
      <c r="AA213" s="293"/>
    </row>
    <row r="214" spans="1:27" s="276" customFormat="1" ht="21.75" customHeight="1" x14ac:dyDescent="0.2">
      <c r="A214" s="294" t="s">
        <v>225</v>
      </c>
      <c r="B214" s="289"/>
      <c r="C214" s="289"/>
      <c r="D214" s="290"/>
      <c r="E214" s="290"/>
      <c r="F214" s="366" t="s">
        <v>224</v>
      </c>
      <c r="G214" s="366"/>
      <c r="H214" s="322"/>
      <c r="I214" s="322"/>
      <c r="J214" s="323"/>
      <c r="K214" s="322"/>
      <c r="L214" s="324"/>
      <c r="M214" s="324"/>
      <c r="N214" s="324"/>
      <c r="O214" s="325"/>
      <c r="P214" s="324"/>
      <c r="Q214" s="325"/>
      <c r="R214" s="324"/>
      <c r="S214" s="325"/>
      <c r="T214" s="324"/>
      <c r="U214" s="325"/>
      <c r="V214" s="324"/>
      <c r="W214" s="325"/>
      <c r="X214" s="324"/>
      <c r="Y214" s="303"/>
      <c r="Z214" s="303"/>
      <c r="AA214" s="294"/>
    </row>
    <row r="215" spans="1:27" s="276" customFormat="1" ht="21.75" customHeight="1" x14ac:dyDescent="0.2">
      <c r="A215" s="293" t="s">
        <v>226</v>
      </c>
      <c r="B215" s="287">
        <v>0.45277777777777778</v>
      </c>
      <c r="C215" s="287">
        <v>0.60555555555555551</v>
      </c>
      <c r="D215" s="287">
        <v>0.45277777777777778</v>
      </c>
      <c r="E215" s="287">
        <v>0.60555555555555551</v>
      </c>
      <c r="F215" s="288">
        <v>0.45347222222222222</v>
      </c>
      <c r="G215" s="288">
        <v>0.60416666666666663</v>
      </c>
      <c r="H215" s="318"/>
      <c r="I215" s="318"/>
      <c r="J215" s="319"/>
      <c r="K215" s="318"/>
      <c r="L215" s="320"/>
      <c r="M215" s="320"/>
      <c r="N215" s="320"/>
      <c r="O215" s="321"/>
      <c r="P215" s="320"/>
      <c r="Q215" s="321"/>
      <c r="R215" s="320"/>
      <c r="S215" s="321"/>
      <c r="T215" s="320"/>
      <c r="U215" s="321"/>
      <c r="V215" s="320"/>
      <c r="W215" s="321"/>
      <c r="X215" s="320"/>
      <c r="Y215" s="298">
        <v>0.33333333333333331</v>
      </c>
      <c r="Z215" s="298">
        <v>0.75</v>
      </c>
      <c r="AA215" s="293"/>
    </row>
    <row r="216" spans="1:27" s="276" customFormat="1" ht="21.75" customHeight="1" x14ac:dyDescent="0.2">
      <c r="A216" s="294" t="s">
        <v>226</v>
      </c>
      <c r="B216" s="286">
        <v>0.22500000000000001</v>
      </c>
      <c r="C216" s="286">
        <v>0.41180555555555554</v>
      </c>
      <c r="D216" s="286">
        <v>0.22500000000000001</v>
      </c>
      <c r="E216" s="286">
        <v>0.41180555555555554</v>
      </c>
      <c r="F216" s="307">
        <v>0.22916666666666666</v>
      </c>
      <c r="G216" s="307">
        <v>0.41180555555555554</v>
      </c>
      <c r="H216" s="322"/>
      <c r="I216" s="322"/>
      <c r="J216" s="323"/>
      <c r="K216" s="322"/>
      <c r="L216" s="324">
        <v>1</v>
      </c>
      <c r="M216" s="324"/>
      <c r="N216" s="324"/>
      <c r="O216" s="325"/>
      <c r="P216" s="324"/>
      <c r="Q216" s="325"/>
      <c r="R216" s="324"/>
      <c r="S216" s="325"/>
      <c r="T216" s="324"/>
      <c r="U216" s="325"/>
      <c r="V216" s="324"/>
      <c r="W216" s="325"/>
      <c r="X216" s="324"/>
      <c r="Y216" s="299">
        <v>0.33333333333333331</v>
      </c>
      <c r="Z216" s="299">
        <v>0.75</v>
      </c>
      <c r="AA216" s="294"/>
    </row>
    <row r="217" spans="1:27" s="276" customFormat="1" ht="21.75" customHeight="1" x14ac:dyDescent="0.2">
      <c r="A217" s="293" t="s">
        <v>228</v>
      </c>
      <c r="B217" s="287">
        <v>0.4770833333333333</v>
      </c>
      <c r="C217" s="287">
        <v>0.63055555555555554</v>
      </c>
      <c r="D217" s="287">
        <v>0.4770833333333333</v>
      </c>
      <c r="E217" s="287">
        <v>0.63055555555555554</v>
      </c>
      <c r="F217" s="288">
        <v>0.47916666666666669</v>
      </c>
      <c r="G217" s="288">
        <v>0.63055555555555554</v>
      </c>
      <c r="H217" s="318"/>
      <c r="I217" s="318"/>
      <c r="J217" s="319"/>
      <c r="K217" s="318"/>
      <c r="L217" s="320"/>
      <c r="M217" s="320"/>
      <c r="N217" s="320"/>
      <c r="O217" s="321"/>
      <c r="P217" s="320"/>
      <c r="Q217" s="321"/>
      <c r="R217" s="320"/>
      <c r="S217" s="321"/>
      <c r="T217" s="320"/>
      <c r="U217" s="321"/>
      <c r="V217" s="320"/>
      <c r="W217" s="321"/>
      <c r="X217" s="320"/>
      <c r="Y217" s="298">
        <v>0.33333333333333331</v>
      </c>
      <c r="Z217" s="298">
        <v>0.75</v>
      </c>
      <c r="AA217" s="293"/>
    </row>
    <row r="218" spans="1:27" s="276" customFormat="1" ht="21.75" customHeight="1" x14ac:dyDescent="0.2">
      <c r="A218" s="294" t="s">
        <v>228</v>
      </c>
      <c r="B218" s="286">
        <v>0.76250000000000007</v>
      </c>
      <c r="C218" s="286">
        <v>0.97986111111111107</v>
      </c>
      <c r="D218" s="286">
        <v>0.76250000000000007</v>
      </c>
      <c r="E218" s="286">
        <v>0.97986111111111107</v>
      </c>
      <c r="F218" s="307">
        <v>0.79722222222222217</v>
      </c>
      <c r="G218" s="307">
        <v>0.97916666666666663</v>
      </c>
      <c r="H218" s="322"/>
      <c r="I218" s="322"/>
      <c r="J218" s="323"/>
      <c r="K218" s="322"/>
      <c r="L218" s="324">
        <v>1</v>
      </c>
      <c r="M218" s="324"/>
      <c r="N218" s="324"/>
      <c r="O218" s="325"/>
      <c r="P218" s="324"/>
      <c r="Q218" s="325"/>
      <c r="R218" s="324"/>
      <c r="S218" s="325">
        <v>1.5</v>
      </c>
      <c r="T218" s="324"/>
      <c r="U218" s="325"/>
      <c r="V218" s="324"/>
      <c r="W218" s="325"/>
      <c r="X218" s="324"/>
      <c r="Y218" s="299">
        <v>0.33333333333333331</v>
      </c>
      <c r="Z218" s="299">
        <v>0.75</v>
      </c>
      <c r="AA218" s="294"/>
    </row>
    <row r="219" spans="1:27" s="276" customFormat="1" ht="21.75" customHeight="1" x14ac:dyDescent="0.2">
      <c r="A219" s="293" t="s">
        <v>229</v>
      </c>
      <c r="B219" s="287">
        <v>0.3979166666666667</v>
      </c>
      <c r="C219" s="287">
        <v>0.59861111111111109</v>
      </c>
      <c r="D219" s="287">
        <v>0.3979166666666667</v>
      </c>
      <c r="E219" s="287">
        <v>0.59861111111111109</v>
      </c>
      <c r="F219" s="288">
        <v>0.41666666666666669</v>
      </c>
      <c r="G219" s="288">
        <v>0.59861111111111109</v>
      </c>
      <c r="H219" s="318"/>
      <c r="I219" s="318"/>
      <c r="J219" s="319"/>
      <c r="K219" s="318"/>
      <c r="L219" s="320"/>
      <c r="M219" s="320"/>
      <c r="N219" s="320"/>
      <c r="O219" s="321"/>
      <c r="P219" s="320"/>
      <c r="Q219" s="321"/>
      <c r="R219" s="320"/>
      <c r="S219" s="321"/>
      <c r="T219" s="320"/>
      <c r="U219" s="321"/>
      <c r="V219" s="320"/>
      <c r="W219" s="321"/>
      <c r="X219" s="320"/>
      <c r="Y219" s="298">
        <v>0.33333333333333331</v>
      </c>
      <c r="Z219" s="298">
        <v>0.75</v>
      </c>
      <c r="AA219" s="293"/>
    </row>
    <row r="220" spans="1:27" s="276" customFormat="1" ht="21.75" customHeight="1" x14ac:dyDescent="0.2">
      <c r="A220" s="294" t="s">
        <v>229</v>
      </c>
      <c r="B220" s="286">
        <v>0.62638888888888888</v>
      </c>
      <c r="C220" s="286">
        <v>0.79652777777777783</v>
      </c>
      <c r="D220" s="286">
        <v>0.62638888888888888</v>
      </c>
      <c r="E220" s="286">
        <v>0.79652777777777783</v>
      </c>
      <c r="F220" s="307">
        <v>0.64027777777777783</v>
      </c>
      <c r="G220" s="307">
        <v>0.79166666666666663</v>
      </c>
      <c r="H220" s="322"/>
      <c r="I220" s="322"/>
      <c r="J220" s="323"/>
      <c r="K220" s="322"/>
      <c r="L220" s="324">
        <v>1</v>
      </c>
      <c r="M220" s="324"/>
      <c r="N220" s="324"/>
      <c r="O220" s="325"/>
      <c r="P220" s="324"/>
      <c r="Q220" s="325"/>
      <c r="R220" s="324"/>
      <c r="S220" s="325"/>
      <c r="T220" s="324"/>
      <c r="U220" s="325"/>
      <c r="V220" s="324"/>
      <c r="W220" s="325"/>
      <c r="X220" s="324"/>
      <c r="Y220" s="299">
        <v>0.33333333333333331</v>
      </c>
      <c r="Z220" s="299">
        <v>0.75</v>
      </c>
      <c r="AA220" s="294"/>
    </row>
    <row r="221" spans="1:27" s="276" customFormat="1" ht="21.75" customHeight="1" x14ac:dyDescent="0.2">
      <c r="A221" s="293" t="s">
        <v>231</v>
      </c>
      <c r="B221" s="300"/>
      <c r="C221" s="300"/>
      <c r="D221" s="301"/>
      <c r="E221" s="301"/>
      <c r="F221" s="365" t="s">
        <v>173</v>
      </c>
      <c r="G221" s="365"/>
      <c r="H221" s="318"/>
      <c r="I221" s="318"/>
      <c r="J221" s="319"/>
      <c r="K221" s="318"/>
      <c r="L221" s="320"/>
      <c r="M221" s="320"/>
      <c r="N221" s="320"/>
      <c r="O221" s="321"/>
      <c r="P221" s="320"/>
      <c r="Q221" s="321"/>
      <c r="R221" s="320"/>
      <c r="S221" s="321"/>
      <c r="T221" s="320"/>
      <c r="U221" s="321"/>
      <c r="V221" s="320"/>
      <c r="W221" s="321"/>
      <c r="X221" s="320"/>
      <c r="Y221" s="302"/>
      <c r="Z221" s="302"/>
      <c r="AA221" s="293"/>
    </row>
    <row r="222" spans="1:27" s="276" customFormat="1" ht="21.75" customHeight="1" x14ac:dyDescent="0.2">
      <c r="A222" s="293" t="s">
        <v>232</v>
      </c>
      <c r="B222" s="287">
        <v>0.37222222222222223</v>
      </c>
      <c r="C222" s="287">
        <v>0.58611111111111114</v>
      </c>
      <c r="D222" s="287">
        <v>0.37222222222222223</v>
      </c>
      <c r="E222" s="287">
        <v>0.58611111111111114</v>
      </c>
      <c r="F222" s="288">
        <v>0.375</v>
      </c>
      <c r="G222" s="288">
        <v>0.58611111111111114</v>
      </c>
      <c r="H222" s="318"/>
      <c r="I222" s="318"/>
      <c r="J222" s="319"/>
      <c r="K222" s="318"/>
      <c r="L222" s="320"/>
      <c r="M222" s="320"/>
      <c r="N222" s="320"/>
      <c r="O222" s="321"/>
      <c r="P222" s="320"/>
      <c r="Q222" s="321"/>
      <c r="R222" s="320"/>
      <c r="S222" s="321"/>
      <c r="T222" s="320"/>
      <c r="U222" s="321"/>
      <c r="V222" s="320"/>
      <c r="W222" s="321"/>
      <c r="X222" s="320"/>
      <c r="Y222" s="298">
        <v>0.33333333333333331</v>
      </c>
      <c r="Z222" s="298">
        <v>0.75</v>
      </c>
      <c r="AA222" s="293"/>
    </row>
    <row r="223" spans="1:27" s="276" customFormat="1" ht="21.75" customHeight="1" x14ac:dyDescent="0.2">
      <c r="A223" s="294" t="s">
        <v>232</v>
      </c>
      <c r="B223" s="286">
        <v>0.62361111111111112</v>
      </c>
      <c r="C223" s="286">
        <v>0.75138888888888899</v>
      </c>
      <c r="D223" s="286">
        <v>0.62361111111111112</v>
      </c>
      <c r="E223" s="286">
        <v>0.75138888888888899</v>
      </c>
      <c r="F223" s="307">
        <v>0.62777777777777777</v>
      </c>
      <c r="G223" s="286">
        <v>0.75</v>
      </c>
      <c r="H223" s="322"/>
      <c r="I223" s="322"/>
      <c r="J223" s="323"/>
      <c r="K223" s="322"/>
      <c r="L223" s="324">
        <v>1</v>
      </c>
      <c r="M223" s="324"/>
      <c r="N223" s="324"/>
      <c r="O223" s="325"/>
      <c r="P223" s="324"/>
      <c r="Q223" s="325"/>
      <c r="R223" s="324"/>
      <c r="S223" s="325"/>
      <c r="T223" s="324"/>
      <c r="U223" s="325"/>
      <c r="V223" s="324"/>
      <c r="W223" s="325"/>
      <c r="X223" s="324"/>
      <c r="Y223" s="299">
        <v>0.33333333333333331</v>
      </c>
      <c r="Z223" s="299">
        <v>0.75</v>
      </c>
      <c r="AA223" s="294"/>
    </row>
    <row r="224" spans="1:27" s="276" customFormat="1" ht="21.75" customHeight="1" x14ac:dyDescent="0.2">
      <c r="A224" s="293" t="s">
        <v>233</v>
      </c>
      <c r="B224" s="287">
        <v>0.37361111111111112</v>
      </c>
      <c r="C224" s="287">
        <v>0.5854166666666667</v>
      </c>
      <c r="D224" s="287">
        <v>0.37361111111111112</v>
      </c>
      <c r="E224" s="287">
        <v>0.5854166666666667</v>
      </c>
      <c r="F224" s="379"/>
      <c r="G224" s="379"/>
      <c r="H224" s="318"/>
      <c r="I224" s="318"/>
      <c r="J224" s="319"/>
      <c r="K224" s="318"/>
      <c r="L224" s="320"/>
      <c r="M224" s="320"/>
      <c r="N224" s="320"/>
      <c r="O224" s="321"/>
      <c r="P224" s="320"/>
      <c r="Q224" s="321"/>
      <c r="R224" s="320"/>
      <c r="S224" s="321"/>
      <c r="T224" s="320"/>
      <c r="U224" s="321"/>
      <c r="V224" s="320"/>
      <c r="W224" s="321"/>
      <c r="X224" s="320"/>
      <c r="Y224" s="298">
        <v>0.33333333333333331</v>
      </c>
      <c r="Z224" s="298">
        <v>0.75</v>
      </c>
      <c r="AA224" s="293"/>
    </row>
    <row r="225" spans="1:27" s="276" customFormat="1" ht="21.75" customHeight="1" x14ac:dyDescent="0.2">
      <c r="A225" s="294" t="s">
        <v>233</v>
      </c>
      <c r="B225" s="286">
        <v>0.62430555555555556</v>
      </c>
      <c r="C225" s="289"/>
      <c r="D225" s="286">
        <v>0.62430555555555556</v>
      </c>
      <c r="E225" s="290"/>
      <c r="F225" s="382" t="s">
        <v>177</v>
      </c>
      <c r="G225" s="381"/>
      <c r="H225" s="322"/>
      <c r="I225" s="322"/>
      <c r="J225" s="323"/>
      <c r="K225" s="322"/>
      <c r="L225" s="324">
        <v>1</v>
      </c>
      <c r="M225" s="324"/>
      <c r="N225" s="324"/>
      <c r="O225" s="325"/>
      <c r="P225" s="324"/>
      <c r="Q225" s="325"/>
      <c r="R225" s="324"/>
      <c r="S225" s="325"/>
      <c r="T225" s="324"/>
      <c r="U225" s="325"/>
      <c r="V225" s="324"/>
      <c r="W225" s="325"/>
      <c r="X225" s="324"/>
      <c r="Y225" s="299">
        <v>0.33333333333333331</v>
      </c>
      <c r="Z225" s="299">
        <v>0.75</v>
      </c>
      <c r="AA225" s="294"/>
    </row>
    <row r="226" spans="1:27" s="276" customFormat="1" ht="21.75" customHeight="1" x14ac:dyDescent="0.2">
      <c r="A226" s="294" t="s">
        <v>234</v>
      </c>
      <c r="B226" s="289"/>
      <c r="C226" s="289"/>
      <c r="D226" s="290"/>
      <c r="E226" s="290"/>
      <c r="F226" s="380" t="s">
        <v>177</v>
      </c>
      <c r="G226" s="366"/>
      <c r="H226" s="322"/>
      <c r="I226" s="322"/>
      <c r="J226" s="323"/>
      <c r="K226" s="322"/>
      <c r="L226" s="324">
        <v>1</v>
      </c>
      <c r="M226" s="324"/>
      <c r="N226" s="324"/>
      <c r="O226" s="325"/>
      <c r="P226" s="324"/>
      <c r="Q226" s="325"/>
      <c r="R226" s="324"/>
      <c r="S226" s="325"/>
      <c r="T226" s="324"/>
      <c r="U226" s="325"/>
      <c r="V226" s="324"/>
      <c r="W226" s="325"/>
      <c r="X226" s="324"/>
      <c r="Y226" s="303"/>
      <c r="Z226" s="303"/>
      <c r="AA226" s="294"/>
    </row>
    <row r="227" spans="1:27" s="276" customFormat="1" ht="21.75" customHeight="1" x14ac:dyDescent="0.2">
      <c r="A227" s="293" t="s">
        <v>236</v>
      </c>
      <c r="B227" s="300"/>
      <c r="C227" s="300"/>
      <c r="D227" s="301"/>
      <c r="E227" s="301"/>
      <c r="F227" s="383" t="s">
        <v>177</v>
      </c>
      <c r="G227" s="365"/>
      <c r="H227" s="318"/>
      <c r="I227" s="318"/>
      <c r="J227" s="319"/>
      <c r="K227" s="318"/>
      <c r="L227" s="320">
        <v>1</v>
      </c>
      <c r="M227" s="320"/>
      <c r="N227" s="320"/>
      <c r="O227" s="321"/>
      <c r="P227" s="320"/>
      <c r="Q227" s="321"/>
      <c r="R227" s="320"/>
      <c r="S227" s="321"/>
      <c r="T227" s="320"/>
      <c r="U227" s="321"/>
      <c r="V227" s="320"/>
      <c r="W227" s="321"/>
      <c r="X227" s="320"/>
      <c r="Y227" s="302"/>
      <c r="Z227" s="302"/>
      <c r="AA227" s="293"/>
    </row>
    <row r="228" spans="1:27" s="276" customFormat="1" ht="21.75" customHeight="1" x14ac:dyDescent="0.2">
      <c r="A228" s="294" t="s">
        <v>237</v>
      </c>
      <c r="B228" s="289"/>
      <c r="C228" s="289"/>
      <c r="D228" s="290"/>
      <c r="E228" s="290"/>
      <c r="F228" s="380" t="s">
        <v>177</v>
      </c>
      <c r="G228" s="366"/>
      <c r="H228" s="322"/>
      <c r="I228" s="322"/>
      <c r="J228" s="323"/>
      <c r="K228" s="322"/>
      <c r="L228" s="324">
        <v>1</v>
      </c>
      <c r="M228" s="324"/>
      <c r="N228" s="324"/>
      <c r="O228" s="325"/>
      <c r="P228" s="324"/>
      <c r="Q228" s="325"/>
      <c r="R228" s="324"/>
      <c r="S228" s="325"/>
      <c r="T228" s="324"/>
      <c r="U228" s="325"/>
      <c r="V228" s="324"/>
      <c r="W228" s="325"/>
      <c r="X228" s="324"/>
      <c r="Y228" s="303"/>
      <c r="Z228" s="303"/>
      <c r="AA228" s="294"/>
    </row>
    <row r="229" spans="1:27" s="276" customFormat="1" ht="21.75" customHeight="1" x14ac:dyDescent="0.2">
      <c r="A229" s="281" t="s">
        <v>3</v>
      </c>
      <c r="B229" s="281"/>
      <c r="C229" s="281"/>
      <c r="D229" s="281"/>
      <c r="E229" s="281"/>
      <c r="F229" s="281"/>
      <c r="G229" s="281"/>
      <c r="H229" s="326">
        <f>SUM(H204:H228)</f>
        <v>0.5</v>
      </c>
      <c r="I229" s="326">
        <f t="shared" ref="I229:X229" si="8">SUM(I204:I228)</f>
        <v>0</v>
      </c>
      <c r="J229" s="326">
        <f t="shared" si="8"/>
        <v>0</v>
      </c>
      <c r="K229" s="326">
        <f t="shared" si="8"/>
        <v>0</v>
      </c>
      <c r="L229" s="326">
        <f t="shared" si="8"/>
        <v>11.5</v>
      </c>
      <c r="M229" s="326">
        <f t="shared" si="8"/>
        <v>0</v>
      </c>
      <c r="N229" s="326">
        <f t="shared" si="8"/>
        <v>0</v>
      </c>
      <c r="O229" s="326">
        <f t="shared" si="8"/>
        <v>0</v>
      </c>
      <c r="P229" s="326">
        <f t="shared" si="8"/>
        <v>0</v>
      </c>
      <c r="Q229" s="326">
        <f t="shared" si="8"/>
        <v>0</v>
      </c>
      <c r="R229" s="326">
        <f t="shared" si="8"/>
        <v>0</v>
      </c>
      <c r="S229" s="326">
        <f t="shared" si="8"/>
        <v>3</v>
      </c>
      <c r="T229" s="326">
        <f t="shared" si="8"/>
        <v>0</v>
      </c>
      <c r="U229" s="326">
        <f t="shared" si="8"/>
        <v>0</v>
      </c>
      <c r="V229" s="326">
        <f t="shared" si="8"/>
        <v>0</v>
      </c>
      <c r="W229" s="326">
        <f t="shared" si="8"/>
        <v>0</v>
      </c>
      <c r="X229" s="326">
        <f t="shared" si="8"/>
        <v>0</v>
      </c>
      <c r="Y229" s="296"/>
      <c r="Z229" s="296"/>
      <c r="AA229" s="281"/>
    </row>
    <row r="230" spans="1:27" s="276" customFormat="1" ht="21.75" customHeight="1" thickBot="1" x14ac:dyDescent="0.25">
      <c r="H230" s="327"/>
      <c r="I230" s="327"/>
      <c r="J230" s="327"/>
      <c r="K230" s="327"/>
      <c r="L230" s="328"/>
      <c r="M230" s="328"/>
      <c r="N230" s="328"/>
      <c r="O230" s="328"/>
      <c r="P230" s="328"/>
      <c r="Q230" s="328"/>
      <c r="R230" s="328"/>
      <c r="S230" s="328"/>
      <c r="T230" s="328"/>
      <c r="U230" s="328"/>
      <c r="V230" s="328"/>
      <c r="W230" s="328"/>
      <c r="X230" s="328"/>
      <c r="Y230" s="304"/>
      <c r="Z230" s="304"/>
    </row>
    <row r="231" spans="1:27" s="276" customFormat="1" ht="21.75" customHeight="1" thickBot="1" x14ac:dyDescent="0.25">
      <c r="A231" s="297" t="s">
        <v>169</v>
      </c>
      <c r="B231" s="285" t="s">
        <v>193</v>
      </c>
      <c r="C231" s="285"/>
      <c r="D231" s="285"/>
      <c r="E231" s="285"/>
      <c r="F231" s="285"/>
      <c r="G231" s="285"/>
      <c r="H231" s="369" t="s">
        <v>91</v>
      </c>
      <c r="I231" s="370"/>
      <c r="J231" s="370"/>
      <c r="K231" s="371"/>
      <c r="L231" s="372" t="s">
        <v>90</v>
      </c>
      <c r="M231" s="374" t="s">
        <v>157</v>
      </c>
      <c r="N231" s="374" t="s">
        <v>158</v>
      </c>
      <c r="O231" s="376" t="s">
        <v>159</v>
      </c>
      <c r="P231" s="377"/>
      <c r="Q231" s="378"/>
      <c r="R231" s="374" t="s">
        <v>160</v>
      </c>
      <c r="S231" s="376" t="s">
        <v>19</v>
      </c>
      <c r="T231" s="377"/>
      <c r="U231" s="378"/>
      <c r="V231" s="374" t="s">
        <v>124</v>
      </c>
      <c r="W231" s="374" t="s">
        <v>125</v>
      </c>
      <c r="X231" s="363" t="s">
        <v>105</v>
      </c>
      <c r="Y231" s="296" t="s">
        <v>161</v>
      </c>
      <c r="Z231" s="296"/>
      <c r="AA231" s="281" t="s">
        <v>162</v>
      </c>
    </row>
    <row r="232" spans="1:27" s="276" customFormat="1" ht="21.75" customHeight="1" thickBot="1" x14ac:dyDescent="0.25">
      <c r="A232" s="297" t="s">
        <v>171</v>
      </c>
      <c r="B232" s="285" t="s">
        <v>194</v>
      </c>
      <c r="C232" s="285"/>
      <c r="D232" s="285"/>
      <c r="E232" s="285"/>
      <c r="F232" s="285"/>
      <c r="G232" s="285"/>
      <c r="H232" s="282" t="s">
        <v>165</v>
      </c>
      <c r="I232" s="282" t="s">
        <v>93</v>
      </c>
      <c r="J232" s="282" t="s">
        <v>94</v>
      </c>
      <c r="K232" s="283" t="s">
        <v>166</v>
      </c>
      <c r="L232" s="373"/>
      <c r="M232" s="375"/>
      <c r="N232" s="375"/>
      <c r="O232" s="284" t="s">
        <v>167</v>
      </c>
      <c r="P232" s="284" t="s">
        <v>168</v>
      </c>
      <c r="Q232" s="315" t="s">
        <v>125</v>
      </c>
      <c r="R232" s="375"/>
      <c r="S232" s="284" t="s">
        <v>167</v>
      </c>
      <c r="T232" s="284" t="s">
        <v>168</v>
      </c>
      <c r="U232" s="315" t="s">
        <v>125</v>
      </c>
      <c r="V232" s="375"/>
      <c r="W232" s="375"/>
      <c r="X232" s="364"/>
      <c r="Y232" s="296" t="s">
        <v>163</v>
      </c>
      <c r="Z232" s="296" t="s">
        <v>164</v>
      </c>
      <c r="AA232" s="281"/>
    </row>
    <row r="233" spans="1:27" s="276" customFormat="1" ht="21.75" customHeight="1" x14ac:dyDescent="0.2">
      <c r="A233" s="293" t="s">
        <v>216</v>
      </c>
      <c r="B233" s="287">
        <v>0.57986111111111105</v>
      </c>
      <c r="C233" s="287">
        <v>0.97986111111111107</v>
      </c>
      <c r="D233" s="287">
        <v>0.57986111111111105</v>
      </c>
      <c r="E233" s="287">
        <v>0.97986111111111107</v>
      </c>
      <c r="F233" s="288">
        <v>0.60416666666666663</v>
      </c>
      <c r="G233" s="288">
        <v>0.97916666666666663</v>
      </c>
      <c r="H233" s="318"/>
      <c r="I233" s="318"/>
      <c r="J233" s="319"/>
      <c r="K233" s="318"/>
      <c r="L233" s="320">
        <v>1</v>
      </c>
      <c r="M233" s="320"/>
      <c r="N233" s="320"/>
      <c r="O233" s="321"/>
      <c r="P233" s="320"/>
      <c r="Q233" s="321"/>
      <c r="R233" s="320"/>
      <c r="S233" s="321">
        <v>1.5</v>
      </c>
      <c r="T233" s="320"/>
      <c r="U233" s="321"/>
      <c r="V233" s="320"/>
      <c r="W233" s="321"/>
      <c r="X233" s="320"/>
      <c r="Y233" s="298">
        <v>0.33333333333333331</v>
      </c>
      <c r="Z233" s="298">
        <v>0.70833333333333337</v>
      </c>
      <c r="AA233" s="293" t="s">
        <v>253</v>
      </c>
    </row>
    <row r="234" spans="1:27" s="276" customFormat="1" ht="21.75" customHeight="1" x14ac:dyDescent="0.2">
      <c r="A234" s="294" t="s">
        <v>218</v>
      </c>
      <c r="B234" s="286">
        <v>0.59930555555555554</v>
      </c>
      <c r="C234" s="289"/>
      <c r="D234" s="286">
        <v>0.59930555555555554</v>
      </c>
      <c r="E234" s="290"/>
      <c r="F234" s="307">
        <v>0.60416666666666663</v>
      </c>
      <c r="G234" s="307">
        <v>0.97916666666666663</v>
      </c>
      <c r="H234" s="322"/>
      <c r="I234" s="322"/>
      <c r="J234" s="323"/>
      <c r="K234" s="322"/>
      <c r="L234" s="324"/>
      <c r="M234" s="324"/>
      <c r="N234" s="324"/>
      <c r="O234" s="325"/>
      <c r="P234" s="324"/>
      <c r="Q234" s="325"/>
      <c r="R234" s="324"/>
      <c r="S234" s="325"/>
      <c r="T234" s="324"/>
      <c r="U234" s="325"/>
      <c r="V234" s="324"/>
      <c r="W234" s="325"/>
      <c r="X234" s="324"/>
      <c r="Y234" s="299">
        <v>0.33333333333333331</v>
      </c>
      <c r="Z234" s="299">
        <v>0.70833333333333337</v>
      </c>
      <c r="AA234" s="294" t="s">
        <v>254</v>
      </c>
    </row>
    <row r="235" spans="1:27" s="276" customFormat="1" ht="21.75" customHeight="1" x14ac:dyDescent="0.2">
      <c r="A235" s="293" t="s">
        <v>219</v>
      </c>
      <c r="B235" s="287">
        <v>5.5555555555555558E-3</v>
      </c>
      <c r="C235" s="287">
        <v>5.5555555555555558E-3</v>
      </c>
      <c r="D235" s="287">
        <v>5.5555555555555558E-3</v>
      </c>
      <c r="E235" s="287">
        <v>5.5555555555555558E-3</v>
      </c>
      <c r="F235" s="287">
        <v>0.33333333333333331</v>
      </c>
      <c r="G235" s="287">
        <v>0.70833333333333337</v>
      </c>
      <c r="H235" s="318"/>
      <c r="I235" s="318"/>
      <c r="J235" s="319"/>
      <c r="K235" s="318"/>
      <c r="L235" s="320">
        <v>1</v>
      </c>
      <c r="M235" s="320"/>
      <c r="N235" s="320"/>
      <c r="O235" s="321"/>
      <c r="P235" s="320"/>
      <c r="Q235" s="321"/>
      <c r="R235" s="320"/>
      <c r="S235" s="321">
        <v>2</v>
      </c>
      <c r="T235" s="320"/>
      <c r="U235" s="321"/>
      <c r="V235" s="320"/>
      <c r="W235" s="321"/>
      <c r="X235" s="320"/>
      <c r="Y235" s="298">
        <v>0.33333333333333331</v>
      </c>
      <c r="Z235" s="298">
        <v>0.70833333333333337</v>
      </c>
      <c r="AA235" s="293"/>
    </row>
    <row r="236" spans="1:27" s="276" customFormat="1" ht="21.75" customHeight="1" x14ac:dyDescent="0.2">
      <c r="A236" s="294" t="s">
        <v>219</v>
      </c>
      <c r="B236" s="286">
        <v>0.41250000000000003</v>
      </c>
      <c r="C236" s="286">
        <v>0.87569444444444444</v>
      </c>
      <c r="D236" s="286">
        <v>0.41250000000000003</v>
      </c>
      <c r="E236" s="286">
        <v>0.87569444444444444</v>
      </c>
      <c r="F236" s="307">
        <v>0.41666666666666669</v>
      </c>
      <c r="G236" s="307">
        <v>0.875</v>
      </c>
      <c r="H236" s="322"/>
      <c r="I236" s="322"/>
      <c r="J236" s="323"/>
      <c r="K236" s="322"/>
      <c r="L236" s="324">
        <v>1</v>
      </c>
      <c r="M236" s="324"/>
      <c r="N236" s="324"/>
      <c r="O236" s="325"/>
      <c r="P236" s="324"/>
      <c r="Q236" s="325"/>
      <c r="R236" s="324"/>
      <c r="S236" s="325"/>
      <c r="T236" s="324"/>
      <c r="U236" s="325"/>
      <c r="V236" s="324"/>
      <c r="W236" s="325"/>
      <c r="X236" s="324"/>
      <c r="Y236" s="299">
        <v>0.33333333333333331</v>
      </c>
      <c r="Z236" s="299">
        <v>0.70833333333333337</v>
      </c>
      <c r="AA236" s="294" t="s">
        <v>195</v>
      </c>
    </row>
    <row r="237" spans="1:27" s="276" customFormat="1" ht="21.75" customHeight="1" x14ac:dyDescent="0.2">
      <c r="A237" s="293" t="s">
        <v>220</v>
      </c>
      <c r="B237" s="300"/>
      <c r="C237" s="300"/>
      <c r="D237" s="301"/>
      <c r="E237" s="301"/>
      <c r="F237" s="365" t="s">
        <v>173</v>
      </c>
      <c r="G237" s="365"/>
      <c r="H237" s="318"/>
      <c r="I237" s="318"/>
      <c r="J237" s="319"/>
      <c r="K237" s="318"/>
      <c r="L237" s="320"/>
      <c r="M237" s="320"/>
      <c r="N237" s="320"/>
      <c r="O237" s="321"/>
      <c r="P237" s="320"/>
      <c r="Q237" s="321"/>
      <c r="R237" s="320"/>
      <c r="S237" s="321"/>
      <c r="T237" s="320"/>
      <c r="U237" s="321"/>
      <c r="V237" s="320"/>
      <c r="W237" s="321"/>
      <c r="X237" s="320"/>
      <c r="Y237" s="302"/>
      <c r="Z237" s="302"/>
      <c r="AA237" s="293"/>
    </row>
    <row r="238" spans="1:27" s="276" customFormat="1" ht="21.75" customHeight="1" x14ac:dyDescent="0.2">
      <c r="A238" s="294" t="s">
        <v>222</v>
      </c>
      <c r="B238" s="286">
        <v>0.20833333333333334</v>
      </c>
      <c r="C238" s="286">
        <v>0.58680555555555558</v>
      </c>
      <c r="D238" s="286">
        <v>0.20833333333333334</v>
      </c>
      <c r="E238" s="286">
        <v>0.58680555555555558</v>
      </c>
      <c r="F238" s="307">
        <v>0.20833333333333334</v>
      </c>
      <c r="G238" s="307">
        <v>0.58333333333333337</v>
      </c>
      <c r="H238" s="322"/>
      <c r="I238" s="322"/>
      <c r="J238" s="323"/>
      <c r="K238" s="322"/>
      <c r="L238" s="324">
        <v>1</v>
      </c>
      <c r="M238" s="324"/>
      <c r="N238" s="324"/>
      <c r="O238" s="325"/>
      <c r="P238" s="324"/>
      <c r="Q238" s="325"/>
      <c r="R238" s="324"/>
      <c r="S238" s="325"/>
      <c r="T238" s="324"/>
      <c r="U238" s="325"/>
      <c r="V238" s="324"/>
      <c r="W238" s="325"/>
      <c r="X238" s="324"/>
      <c r="Y238" s="299">
        <v>0.33333333333333331</v>
      </c>
      <c r="Z238" s="299">
        <v>0.70833333333333337</v>
      </c>
      <c r="AA238" s="294"/>
    </row>
    <row r="239" spans="1:27" s="276" customFormat="1" ht="21.75" customHeight="1" x14ac:dyDescent="0.2">
      <c r="A239" s="293" t="s">
        <v>223</v>
      </c>
      <c r="B239" s="300"/>
      <c r="C239" s="300"/>
      <c r="D239" s="301"/>
      <c r="E239" s="301"/>
      <c r="F239" s="365" t="s">
        <v>224</v>
      </c>
      <c r="G239" s="365"/>
      <c r="H239" s="318"/>
      <c r="I239" s="318"/>
      <c r="J239" s="319"/>
      <c r="K239" s="318"/>
      <c r="L239" s="320"/>
      <c r="M239" s="320"/>
      <c r="N239" s="320"/>
      <c r="O239" s="321"/>
      <c r="P239" s="320"/>
      <c r="Q239" s="321"/>
      <c r="R239" s="320"/>
      <c r="S239" s="321"/>
      <c r="T239" s="320"/>
      <c r="U239" s="321"/>
      <c r="V239" s="320"/>
      <c r="W239" s="321"/>
      <c r="X239" s="320"/>
      <c r="Y239" s="302"/>
      <c r="Z239" s="302"/>
      <c r="AA239" s="293"/>
    </row>
    <row r="240" spans="1:27" s="276" customFormat="1" ht="21.75" customHeight="1" x14ac:dyDescent="0.2">
      <c r="A240" s="294" t="s">
        <v>225</v>
      </c>
      <c r="B240" s="289"/>
      <c r="C240" s="289"/>
      <c r="D240" s="290"/>
      <c r="E240" s="290"/>
      <c r="F240" s="366" t="s">
        <v>224</v>
      </c>
      <c r="G240" s="366"/>
      <c r="H240" s="322"/>
      <c r="I240" s="322"/>
      <c r="J240" s="323"/>
      <c r="K240" s="322"/>
      <c r="L240" s="324"/>
      <c r="M240" s="324"/>
      <c r="N240" s="324"/>
      <c r="O240" s="325"/>
      <c r="P240" s="324"/>
      <c r="Q240" s="325"/>
      <c r="R240" s="324"/>
      <c r="S240" s="325"/>
      <c r="T240" s="324"/>
      <c r="U240" s="325"/>
      <c r="V240" s="324"/>
      <c r="W240" s="325"/>
      <c r="X240" s="324"/>
      <c r="Y240" s="303"/>
      <c r="Z240" s="303"/>
      <c r="AA240" s="294"/>
    </row>
    <row r="241" spans="1:27" s="276" customFormat="1" ht="21.75" customHeight="1" x14ac:dyDescent="0.2">
      <c r="A241" s="293" t="s">
        <v>226</v>
      </c>
      <c r="B241" s="300"/>
      <c r="C241" s="300"/>
      <c r="D241" s="301"/>
      <c r="E241" s="301"/>
      <c r="F241" s="365" t="s">
        <v>165</v>
      </c>
      <c r="G241" s="365"/>
      <c r="H241" s="318">
        <v>1</v>
      </c>
      <c r="I241" s="318"/>
      <c r="J241" s="319"/>
      <c r="K241" s="318"/>
      <c r="L241" s="320"/>
      <c r="M241" s="320"/>
      <c r="N241" s="320"/>
      <c r="O241" s="321"/>
      <c r="P241" s="320"/>
      <c r="Q241" s="321"/>
      <c r="R241" s="320"/>
      <c r="S241" s="321"/>
      <c r="T241" s="320"/>
      <c r="U241" s="321"/>
      <c r="V241" s="320"/>
      <c r="W241" s="321"/>
      <c r="X241" s="320"/>
      <c r="Y241" s="302"/>
      <c r="Z241" s="302"/>
      <c r="AA241" s="293"/>
    </row>
    <row r="242" spans="1:27" s="276" customFormat="1" ht="21.75" customHeight="1" x14ac:dyDescent="0.2">
      <c r="A242" s="294" t="s">
        <v>228</v>
      </c>
      <c r="B242" s="286">
        <v>0.59583333333333333</v>
      </c>
      <c r="C242" s="286">
        <v>0.97986111111111107</v>
      </c>
      <c r="D242" s="286">
        <v>0.59583333333333333</v>
      </c>
      <c r="E242" s="286">
        <v>0.97986111111111107</v>
      </c>
      <c r="F242" s="307">
        <v>0.60416666666666663</v>
      </c>
      <c r="G242" s="307">
        <v>0.97916666666666663</v>
      </c>
      <c r="H242" s="322"/>
      <c r="I242" s="322"/>
      <c r="J242" s="323"/>
      <c r="K242" s="322"/>
      <c r="L242" s="324">
        <v>1</v>
      </c>
      <c r="M242" s="324"/>
      <c r="N242" s="324"/>
      <c r="O242" s="325"/>
      <c r="P242" s="324"/>
      <c r="Q242" s="325"/>
      <c r="R242" s="324"/>
      <c r="S242" s="325">
        <v>1.5</v>
      </c>
      <c r="T242" s="324"/>
      <c r="U242" s="325"/>
      <c r="V242" s="324"/>
      <c r="W242" s="325"/>
      <c r="X242" s="324"/>
      <c r="Y242" s="299">
        <v>0.33333333333333331</v>
      </c>
      <c r="Z242" s="299">
        <v>0.70833333333333337</v>
      </c>
      <c r="AA242" s="294"/>
    </row>
    <row r="243" spans="1:27" s="276" customFormat="1" ht="21.75" customHeight="1" x14ac:dyDescent="0.2">
      <c r="A243" s="293" t="s">
        <v>229</v>
      </c>
      <c r="B243" s="300"/>
      <c r="C243" s="300"/>
      <c r="D243" s="301"/>
      <c r="E243" s="301"/>
      <c r="F243" s="365" t="s">
        <v>174</v>
      </c>
      <c r="G243" s="365"/>
      <c r="H243" s="318"/>
      <c r="I243" s="318"/>
      <c r="J243" s="319"/>
      <c r="K243" s="318"/>
      <c r="L243" s="320">
        <v>1</v>
      </c>
      <c r="M243" s="320"/>
      <c r="N243" s="320"/>
      <c r="O243" s="321"/>
      <c r="P243" s="320"/>
      <c r="Q243" s="321"/>
      <c r="R243" s="320"/>
      <c r="S243" s="321"/>
      <c r="T243" s="320"/>
      <c r="U243" s="321"/>
      <c r="V243" s="320"/>
      <c r="W243" s="321"/>
      <c r="X243" s="320"/>
      <c r="Y243" s="302"/>
      <c r="Z243" s="302"/>
      <c r="AA243" s="293"/>
    </row>
    <row r="244" spans="1:27" s="276" customFormat="1" ht="21.75" customHeight="1" x14ac:dyDescent="0.2">
      <c r="A244" s="294" t="s">
        <v>231</v>
      </c>
      <c r="B244" s="289"/>
      <c r="C244" s="289"/>
      <c r="D244" s="290"/>
      <c r="E244" s="290"/>
      <c r="F244" s="366" t="s">
        <v>173</v>
      </c>
      <c r="G244" s="366"/>
      <c r="H244" s="322"/>
      <c r="I244" s="322"/>
      <c r="J244" s="323"/>
      <c r="K244" s="322"/>
      <c r="L244" s="324"/>
      <c r="M244" s="324"/>
      <c r="N244" s="324"/>
      <c r="O244" s="325"/>
      <c r="P244" s="324"/>
      <c r="Q244" s="325"/>
      <c r="R244" s="324"/>
      <c r="S244" s="325"/>
      <c r="T244" s="324"/>
      <c r="U244" s="325"/>
      <c r="V244" s="324"/>
      <c r="W244" s="325"/>
      <c r="X244" s="324"/>
      <c r="Y244" s="303"/>
      <c r="Z244" s="303"/>
      <c r="AA244" s="294"/>
    </row>
    <row r="245" spans="1:27" s="276" customFormat="1" ht="21.75" customHeight="1" x14ac:dyDescent="0.2">
      <c r="A245" s="293" t="s">
        <v>232</v>
      </c>
      <c r="B245" s="287">
        <v>0.60069444444444442</v>
      </c>
      <c r="C245" s="287">
        <v>0.97986111111111107</v>
      </c>
      <c r="D245" s="287">
        <v>0.60069444444444442</v>
      </c>
      <c r="E245" s="287">
        <v>0.97986111111111107</v>
      </c>
      <c r="F245" s="379" t="s">
        <v>255</v>
      </c>
      <c r="G245" s="379"/>
      <c r="H245" s="318"/>
      <c r="I245" s="318"/>
      <c r="J245" s="319"/>
      <c r="K245" s="318"/>
      <c r="L245" s="320">
        <v>1</v>
      </c>
      <c r="M245" s="320"/>
      <c r="N245" s="320"/>
      <c r="O245" s="321"/>
      <c r="P245" s="320"/>
      <c r="Q245" s="321"/>
      <c r="R245" s="320"/>
      <c r="S245" s="321">
        <v>1.5</v>
      </c>
      <c r="T245" s="320"/>
      <c r="U245" s="321"/>
      <c r="V245" s="320"/>
      <c r="W245" s="321"/>
      <c r="X245" s="320"/>
      <c r="Y245" s="298">
        <v>0.33333333333333331</v>
      </c>
      <c r="Z245" s="298">
        <v>0.70833333333333337</v>
      </c>
      <c r="AA245" s="293"/>
    </row>
    <row r="246" spans="1:27" s="276" customFormat="1" ht="21.75" customHeight="1" x14ac:dyDescent="0.2">
      <c r="A246" s="294" t="s">
        <v>233</v>
      </c>
      <c r="B246" s="286">
        <v>0.5493055555555556</v>
      </c>
      <c r="C246" s="289"/>
      <c r="D246" s="286">
        <v>0.5493055555555556</v>
      </c>
      <c r="E246" s="290"/>
      <c r="F246" s="381" t="s">
        <v>255</v>
      </c>
      <c r="G246" s="381"/>
      <c r="H246" s="322"/>
      <c r="I246" s="322"/>
      <c r="J246" s="323"/>
      <c r="K246" s="322"/>
      <c r="L246" s="324">
        <v>1</v>
      </c>
      <c r="M246" s="324"/>
      <c r="N246" s="324"/>
      <c r="O246" s="325"/>
      <c r="P246" s="324"/>
      <c r="Q246" s="325"/>
      <c r="R246" s="324"/>
      <c r="S246" s="325">
        <v>1.5</v>
      </c>
      <c r="T246" s="324"/>
      <c r="U246" s="325"/>
      <c r="V246" s="324"/>
      <c r="W246" s="325"/>
      <c r="X246" s="324"/>
      <c r="Y246" s="299">
        <v>0.33333333333333331</v>
      </c>
      <c r="Z246" s="299">
        <v>0.70833333333333337</v>
      </c>
      <c r="AA246" s="294"/>
    </row>
    <row r="247" spans="1:27" s="276" customFormat="1" ht="21.75" customHeight="1" x14ac:dyDescent="0.2">
      <c r="A247" s="293" t="s">
        <v>234</v>
      </c>
      <c r="B247" s="300"/>
      <c r="C247" s="300"/>
      <c r="D247" s="301"/>
      <c r="E247" s="301"/>
      <c r="F247" s="379" t="s">
        <v>255</v>
      </c>
      <c r="G247" s="379"/>
      <c r="H247" s="318"/>
      <c r="I247" s="318"/>
      <c r="J247" s="319"/>
      <c r="K247" s="318"/>
      <c r="L247" s="320">
        <v>1</v>
      </c>
      <c r="M247" s="320"/>
      <c r="N247" s="320"/>
      <c r="O247" s="321"/>
      <c r="P247" s="320"/>
      <c r="Q247" s="321"/>
      <c r="R247" s="320"/>
      <c r="S247" s="321">
        <v>1.5</v>
      </c>
      <c r="T247" s="320"/>
      <c r="U247" s="321"/>
      <c r="V247" s="320"/>
      <c r="W247" s="321"/>
      <c r="X247" s="320"/>
      <c r="Y247" s="302"/>
      <c r="Z247" s="302"/>
      <c r="AA247" s="293"/>
    </row>
    <row r="248" spans="1:27" s="276" customFormat="1" ht="21.75" customHeight="1" x14ac:dyDescent="0.2">
      <c r="A248" s="294" t="s">
        <v>236</v>
      </c>
      <c r="B248" s="289"/>
      <c r="C248" s="289"/>
      <c r="D248" s="290"/>
      <c r="E248" s="290"/>
      <c r="F248" s="381" t="s">
        <v>255</v>
      </c>
      <c r="G248" s="381"/>
      <c r="H248" s="322"/>
      <c r="I248" s="322"/>
      <c r="J248" s="323"/>
      <c r="K248" s="322"/>
      <c r="L248" s="324">
        <v>1</v>
      </c>
      <c r="M248" s="324"/>
      <c r="N248" s="324"/>
      <c r="O248" s="325"/>
      <c r="P248" s="324"/>
      <c r="Q248" s="325"/>
      <c r="R248" s="324"/>
      <c r="S248" s="325">
        <v>1.5</v>
      </c>
      <c r="T248" s="324"/>
      <c r="U248" s="325"/>
      <c r="V248" s="324"/>
      <c r="W248" s="325"/>
      <c r="X248" s="324"/>
      <c r="Y248" s="303"/>
      <c r="Z248" s="303"/>
      <c r="AA248" s="294"/>
    </row>
    <row r="249" spans="1:27" s="276" customFormat="1" ht="21.75" customHeight="1" x14ac:dyDescent="0.2">
      <c r="A249" s="293" t="s">
        <v>237</v>
      </c>
      <c r="B249" s="300"/>
      <c r="C249" s="300"/>
      <c r="D249" s="301"/>
      <c r="E249" s="301"/>
      <c r="F249" s="379" t="s">
        <v>255</v>
      </c>
      <c r="G249" s="379"/>
      <c r="H249" s="318"/>
      <c r="I249" s="318"/>
      <c r="J249" s="319"/>
      <c r="K249" s="318"/>
      <c r="L249" s="320">
        <v>1</v>
      </c>
      <c r="M249" s="320"/>
      <c r="N249" s="320"/>
      <c r="O249" s="321"/>
      <c r="P249" s="320"/>
      <c r="Q249" s="321"/>
      <c r="R249" s="320"/>
      <c r="S249" s="321">
        <v>1.5</v>
      </c>
      <c r="T249" s="320"/>
      <c r="U249" s="321"/>
      <c r="V249" s="320"/>
      <c r="W249" s="321"/>
      <c r="X249" s="320"/>
      <c r="Y249" s="302"/>
      <c r="Z249" s="302"/>
      <c r="AA249" s="293"/>
    </row>
    <row r="250" spans="1:27" s="276" customFormat="1" ht="21.75" customHeight="1" x14ac:dyDescent="0.2">
      <c r="A250" s="281" t="s">
        <v>3</v>
      </c>
      <c r="B250" s="281"/>
      <c r="C250" s="281"/>
      <c r="D250" s="281"/>
      <c r="E250" s="281"/>
      <c r="F250" s="281"/>
      <c r="G250" s="281"/>
      <c r="H250" s="326">
        <f>SUM(H232:H249)</f>
        <v>1</v>
      </c>
      <c r="I250" s="326">
        <f t="shared" ref="I250:X250" si="9">SUM(I232:I249)</f>
        <v>0</v>
      </c>
      <c r="J250" s="326">
        <f t="shared" si="9"/>
        <v>0</v>
      </c>
      <c r="K250" s="326">
        <f t="shared" si="9"/>
        <v>0</v>
      </c>
      <c r="L250" s="326">
        <f t="shared" si="9"/>
        <v>11</v>
      </c>
      <c r="M250" s="326">
        <f t="shared" si="9"/>
        <v>0</v>
      </c>
      <c r="N250" s="326">
        <f t="shared" si="9"/>
        <v>0</v>
      </c>
      <c r="O250" s="326">
        <f t="shared" si="9"/>
        <v>0</v>
      </c>
      <c r="P250" s="326">
        <f t="shared" si="9"/>
        <v>0</v>
      </c>
      <c r="Q250" s="326">
        <f t="shared" si="9"/>
        <v>0</v>
      </c>
      <c r="R250" s="326">
        <f t="shared" si="9"/>
        <v>0</v>
      </c>
      <c r="S250" s="326">
        <f t="shared" si="9"/>
        <v>12.5</v>
      </c>
      <c r="T250" s="326">
        <f t="shared" si="9"/>
        <v>0</v>
      </c>
      <c r="U250" s="326">
        <f t="shared" si="9"/>
        <v>0</v>
      </c>
      <c r="V250" s="326">
        <f t="shared" si="9"/>
        <v>0</v>
      </c>
      <c r="W250" s="326">
        <f t="shared" si="9"/>
        <v>0</v>
      </c>
      <c r="X250" s="326">
        <f t="shared" si="9"/>
        <v>0</v>
      </c>
      <c r="Y250" s="296"/>
      <c r="Z250" s="296"/>
      <c r="AA250" s="281"/>
    </row>
    <row r="251" spans="1:27" s="276" customFormat="1" ht="21.75" customHeight="1" thickBot="1" x14ac:dyDescent="0.25">
      <c r="H251" s="327"/>
      <c r="I251" s="327"/>
      <c r="J251" s="327"/>
      <c r="K251" s="327"/>
      <c r="L251" s="328"/>
      <c r="M251" s="328"/>
      <c r="N251" s="328"/>
      <c r="O251" s="328"/>
      <c r="P251" s="328"/>
      <c r="Q251" s="328"/>
      <c r="R251" s="328"/>
      <c r="S251" s="328"/>
      <c r="T251" s="328"/>
      <c r="U251" s="328"/>
      <c r="V251" s="328"/>
      <c r="W251" s="328"/>
      <c r="X251" s="328"/>
      <c r="Y251" s="304"/>
      <c r="Z251" s="304"/>
    </row>
    <row r="252" spans="1:27" s="276" customFormat="1" ht="21.75" customHeight="1" thickBot="1" x14ac:dyDescent="0.25">
      <c r="A252" s="297" t="s">
        <v>169</v>
      </c>
      <c r="B252" s="285" t="s">
        <v>196</v>
      </c>
      <c r="C252" s="285"/>
      <c r="D252" s="285"/>
      <c r="E252" s="285"/>
      <c r="F252" s="285"/>
      <c r="G252" s="285"/>
      <c r="H252" s="369" t="s">
        <v>91</v>
      </c>
      <c r="I252" s="370"/>
      <c r="J252" s="370"/>
      <c r="K252" s="371"/>
      <c r="L252" s="372" t="s">
        <v>90</v>
      </c>
      <c r="M252" s="374" t="s">
        <v>157</v>
      </c>
      <c r="N252" s="374" t="s">
        <v>158</v>
      </c>
      <c r="O252" s="376" t="s">
        <v>159</v>
      </c>
      <c r="P252" s="377"/>
      <c r="Q252" s="378"/>
      <c r="R252" s="374" t="s">
        <v>160</v>
      </c>
      <c r="S252" s="376" t="s">
        <v>19</v>
      </c>
      <c r="T252" s="377"/>
      <c r="U252" s="378"/>
      <c r="V252" s="374" t="s">
        <v>124</v>
      </c>
      <c r="W252" s="374" t="s">
        <v>125</v>
      </c>
      <c r="X252" s="363" t="s">
        <v>105</v>
      </c>
      <c r="Y252" s="296" t="s">
        <v>161</v>
      </c>
      <c r="Z252" s="296"/>
      <c r="AA252" s="281" t="s">
        <v>162</v>
      </c>
    </row>
    <row r="253" spans="1:27" s="276" customFormat="1" ht="21.75" customHeight="1" thickBot="1" x14ac:dyDescent="0.25">
      <c r="A253" s="297" t="s">
        <v>171</v>
      </c>
      <c r="B253" s="285" t="s">
        <v>197</v>
      </c>
      <c r="C253" s="285"/>
      <c r="D253" s="285"/>
      <c r="E253" s="285"/>
      <c r="F253" s="285"/>
      <c r="G253" s="285"/>
      <c r="H253" s="282" t="s">
        <v>165</v>
      </c>
      <c r="I253" s="282" t="s">
        <v>93</v>
      </c>
      <c r="J253" s="282" t="s">
        <v>94</v>
      </c>
      <c r="K253" s="283" t="s">
        <v>166</v>
      </c>
      <c r="L253" s="373"/>
      <c r="M253" s="375"/>
      <c r="N253" s="375"/>
      <c r="O253" s="284" t="s">
        <v>167</v>
      </c>
      <c r="P253" s="284" t="s">
        <v>168</v>
      </c>
      <c r="Q253" s="315" t="s">
        <v>125</v>
      </c>
      <c r="R253" s="375"/>
      <c r="S253" s="284" t="s">
        <v>167</v>
      </c>
      <c r="T253" s="284" t="s">
        <v>168</v>
      </c>
      <c r="U253" s="315" t="s">
        <v>125</v>
      </c>
      <c r="V253" s="375"/>
      <c r="W253" s="375"/>
      <c r="X253" s="364"/>
      <c r="Y253" s="296" t="s">
        <v>163</v>
      </c>
      <c r="Z253" s="296" t="s">
        <v>164</v>
      </c>
      <c r="AA253" s="281"/>
    </row>
    <row r="254" spans="1:27" s="276" customFormat="1" ht="21.75" customHeight="1" x14ac:dyDescent="0.2">
      <c r="A254" s="293" t="s">
        <v>216</v>
      </c>
      <c r="B254" s="287">
        <v>0.3666666666666667</v>
      </c>
      <c r="C254" s="287">
        <v>0.58611111111111114</v>
      </c>
      <c r="D254" s="287">
        <v>0.3666666666666667</v>
      </c>
      <c r="E254" s="287">
        <v>0.58611111111111114</v>
      </c>
      <c r="F254" s="288">
        <v>0.375</v>
      </c>
      <c r="G254" s="288">
        <v>0.58611111111111114</v>
      </c>
      <c r="H254" s="318"/>
      <c r="I254" s="318"/>
      <c r="J254" s="319"/>
      <c r="K254" s="318"/>
      <c r="L254" s="320"/>
      <c r="M254" s="320"/>
      <c r="N254" s="320"/>
      <c r="O254" s="321"/>
      <c r="P254" s="320"/>
      <c r="Q254" s="321"/>
      <c r="R254" s="320"/>
      <c r="S254" s="321"/>
      <c r="T254" s="320"/>
      <c r="U254" s="321"/>
      <c r="V254" s="320"/>
      <c r="W254" s="321"/>
      <c r="X254" s="320"/>
      <c r="Y254" s="298">
        <v>0</v>
      </c>
      <c r="Z254" s="298">
        <v>0</v>
      </c>
      <c r="AA254" s="293"/>
    </row>
    <row r="255" spans="1:27" s="276" customFormat="1" ht="21.75" customHeight="1" x14ac:dyDescent="0.2">
      <c r="A255" s="294" t="s">
        <v>216</v>
      </c>
      <c r="B255" s="286">
        <v>0.62361111111111112</v>
      </c>
      <c r="C255" s="286">
        <v>0.75138888888888899</v>
      </c>
      <c r="D255" s="286">
        <v>0.62361111111111112</v>
      </c>
      <c r="E255" s="286">
        <v>0.75138888888888899</v>
      </c>
      <c r="F255" s="307">
        <v>0.62777777777777777</v>
      </c>
      <c r="G255" s="307">
        <v>0.75</v>
      </c>
      <c r="H255" s="322"/>
      <c r="I255" s="322"/>
      <c r="J255" s="323"/>
      <c r="K255" s="322"/>
      <c r="L255" s="324">
        <v>1</v>
      </c>
      <c r="M255" s="324"/>
      <c r="N255" s="324"/>
      <c r="O255" s="325"/>
      <c r="P255" s="324"/>
      <c r="Q255" s="325"/>
      <c r="R255" s="324"/>
      <c r="S255" s="325"/>
      <c r="T255" s="324"/>
      <c r="U255" s="325"/>
      <c r="V255" s="324"/>
      <c r="W255" s="325"/>
      <c r="X255" s="324"/>
      <c r="Y255" s="299">
        <v>0</v>
      </c>
      <c r="Z255" s="299">
        <v>0</v>
      </c>
      <c r="AA255" s="294"/>
    </row>
    <row r="256" spans="1:27" s="276" customFormat="1" ht="21.75" customHeight="1" x14ac:dyDescent="0.2">
      <c r="A256" s="293" t="s">
        <v>218</v>
      </c>
      <c r="B256" s="287">
        <v>0.3659722222222222</v>
      </c>
      <c r="C256" s="287">
        <v>0.59236111111111112</v>
      </c>
      <c r="D256" s="287">
        <v>0.3659722222222222</v>
      </c>
      <c r="E256" s="287">
        <v>0.59236111111111112</v>
      </c>
      <c r="F256" s="288">
        <v>0.375</v>
      </c>
      <c r="G256" s="288">
        <v>0.59236111111111112</v>
      </c>
      <c r="H256" s="318"/>
      <c r="I256" s="318"/>
      <c r="J256" s="319"/>
      <c r="K256" s="318"/>
      <c r="L256" s="320"/>
      <c r="M256" s="320"/>
      <c r="N256" s="320"/>
      <c r="O256" s="321"/>
      <c r="P256" s="320"/>
      <c r="Q256" s="321"/>
      <c r="R256" s="320"/>
      <c r="S256" s="321"/>
      <c r="T256" s="320"/>
      <c r="U256" s="321"/>
      <c r="V256" s="320"/>
      <c r="W256" s="321"/>
      <c r="X256" s="320"/>
      <c r="Y256" s="298">
        <v>0</v>
      </c>
      <c r="Z256" s="298">
        <v>0</v>
      </c>
      <c r="AA256" s="293"/>
    </row>
    <row r="257" spans="1:27" s="276" customFormat="1" ht="21.75" customHeight="1" x14ac:dyDescent="0.2">
      <c r="A257" s="294" t="s">
        <v>218</v>
      </c>
      <c r="B257" s="286">
        <v>0.62569444444444444</v>
      </c>
      <c r="C257" s="286">
        <v>0.75138888888888899</v>
      </c>
      <c r="D257" s="286">
        <v>0.62569444444444444</v>
      </c>
      <c r="E257" s="286">
        <v>0.75138888888888899</v>
      </c>
      <c r="F257" s="307">
        <v>0.63402777777777775</v>
      </c>
      <c r="G257" s="307">
        <v>0.75</v>
      </c>
      <c r="H257" s="322"/>
      <c r="I257" s="322"/>
      <c r="J257" s="323"/>
      <c r="K257" s="322"/>
      <c r="L257" s="324">
        <v>1</v>
      </c>
      <c r="M257" s="324"/>
      <c r="N257" s="324"/>
      <c r="O257" s="325"/>
      <c r="P257" s="324"/>
      <c r="Q257" s="325"/>
      <c r="R257" s="324"/>
      <c r="S257" s="325"/>
      <c r="T257" s="324"/>
      <c r="U257" s="325"/>
      <c r="V257" s="324"/>
      <c r="W257" s="325"/>
      <c r="X257" s="324"/>
      <c r="Y257" s="299">
        <v>0</v>
      </c>
      <c r="Z257" s="299">
        <v>0</v>
      </c>
      <c r="AA257" s="294"/>
    </row>
    <row r="258" spans="1:27" s="276" customFormat="1" ht="21.75" customHeight="1" x14ac:dyDescent="0.2">
      <c r="A258" s="293" t="s">
        <v>219</v>
      </c>
      <c r="B258" s="300"/>
      <c r="C258" s="300"/>
      <c r="D258" s="301"/>
      <c r="E258" s="301"/>
      <c r="F258" s="365" t="s">
        <v>173</v>
      </c>
      <c r="G258" s="365"/>
      <c r="H258" s="318"/>
      <c r="I258" s="318"/>
      <c r="J258" s="319"/>
      <c r="K258" s="318"/>
      <c r="L258" s="320"/>
      <c r="M258" s="320"/>
      <c r="N258" s="320"/>
      <c r="O258" s="321"/>
      <c r="P258" s="320"/>
      <c r="Q258" s="321"/>
      <c r="R258" s="320"/>
      <c r="S258" s="321"/>
      <c r="T258" s="320"/>
      <c r="U258" s="321"/>
      <c r="V258" s="320"/>
      <c r="W258" s="321"/>
      <c r="X258" s="320"/>
      <c r="Y258" s="302"/>
      <c r="Z258" s="302"/>
      <c r="AA258" s="293"/>
    </row>
    <row r="259" spans="1:27" s="276" customFormat="1" ht="21.75" customHeight="1" x14ac:dyDescent="0.2">
      <c r="A259" s="294" t="s">
        <v>220</v>
      </c>
      <c r="B259" s="289"/>
      <c r="C259" s="289"/>
      <c r="D259" s="290"/>
      <c r="E259" s="290"/>
      <c r="F259" s="366" t="s">
        <v>173</v>
      </c>
      <c r="G259" s="366"/>
      <c r="H259" s="322"/>
      <c r="I259" s="322"/>
      <c r="J259" s="323"/>
      <c r="K259" s="322"/>
      <c r="L259" s="324"/>
      <c r="M259" s="324"/>
      <c r="N259" s="324"/>
      <c r="O259" s="325"/>
      <c r="P259" s="324"/>
      <c r="Q259" s="325"/>
      <c r="R259" s="324"/>
      <c r="S259" s="325"/>
      <c r="T259" s="324"/>
      <c r="U259" s="325"/>
      <c r="V259" s="324"/>
      <c r="W259" s="325"/>
      <c r="X259" s="324"/>
      <c r="Y259" s="303"/>
      <c r="Z259" s="303"/>
      <c r="AA259" s="294"/>
    </row>
    <row r="260" spans="1:27" s="276" customFormat="1" ht="21.75" customHeight="1" x14ac:dyDescent="0.2">
      <c r="A260" s="294" t="s">
        <v>222</v>
      </c>
      <c r="B260" s="286">
        <v>0.3611111111111111</v>
      </c>
      <c r="C260" s="286">
        <v>0.6</v>
      </c>
      <c r="D260" s="286">
        <v>0.3611111111111111</v>
      </c>
      <c r="E260" s="286">
        <v>0.6</v>
      </c>
      <c r="F260" s="307">
        <v>0.375</v>
      </c>
      <c r="G260" s="307">
        <v>0.6</v>
      </c>
      <c r="H260" s="322"/>
      <c r="I260" s="322"/>
      <c r="J260" s="323"/>
      <c r="K260" s="322"/>
      <c r="L260" s="324"/>
      <c r="M260" s="324"/>
      <c r="N260" s="324"/>
      <c r="O260" s="325"/>
      <c r="P260" s="324"/>
      <c r="Q260" s="325"/>
      <c r="R260" s="324"/>
      <c r="S260" s="325"/>
      <c r="T260" s="324"/>
      <c r="U260" s="325"/>
      <c r="V260" s="324"/>
      <c r="W260" s="325"/>
      <c r="X260" s="324"/>
      <c r="Y260" s="299">
        <v>0</v>
      </c>
      <c r="Z260" s="299">
        <v>0</v>
      </c>
      <c r="AA260" s="294"/>
    </row>
    <row r="261" spans="1:27" s="276" customFormat="1" ht="21.75" customHeight="1" x14ac:dyDescent="0.2">
      <c r="A261" s="293" t="s">
        <v>222</v>
      </c>
      <c r="B261" s="287">
        <v>0.62847222222222221</v>
      </c>
      <c r="C261" s="287">
        <v>0.7680555555555556</v>
      </c>
      <c r="D261" s="287">
        <v>0.62847222222222221</v>
      </c>
      <c r="E261" s="287">
        <v>0.7680555555555556</v>
      </c>
      <c r="F261" s="288">
        <v>0.64166666666666672</v>
      </c>
      <c r="G261" s="288">
        <v>0.75</v>
      </c>
      <c r="H261" s="318"/>
      <c r="I261" s="318"/>
      <c r="J261" s="319"/>
      <c r="K261" s="318"/>
      <c r="L261" s="320">
        <v>1</v>
      </c>
      <c r="M261" s="320"/>
      <c r="N261" s="320"/>
      <c r="O261" s="321"/>
      <c r="P261" s="320"/>
      <c r="Q261" s="321"/>
      <c r="R261" s="320"/>
      <c r="S261" s="321"/>
      <c r="T261" s="320"/>
      <c r="U261" s="321"/>
      <c r="V261" s="320"/>
      <c r="W261" s="321"/>
      <c r="X261" s="320"/>
      <c r="Y261" s="298">
        <v>0</v>
      </c>
      <c r="Z261" s="298">
        <v>0</v>
      </c>
      <c r="AA261" s="293"/>
    </row>
    <row r="262" spans="1:27" s="276" customFormat="1" ht="21.75" customHeight="1" x14ac:dyDescent="0.2">
      <c r="A262" s="293" t="s">
        <v>223</v>
      </c>
      <c r="B262" s="300"/>
      <c r="C262" s="300"/>
      <c r="D262" s="301"/>
      <c r="E262" s="301"/>
      <c r="F262" s="365" t="s">
        <v>224</v>
      </c>
      <c r="G262" s="365"/>
      <c r="H262" s="318"/>
      <c r="I262" s="318"/>
      <c r="J262" s="319"/>
      <c r="K262" s="318"/>
      <c r="L262" s="320"/>
      <c r="M262" s="320"/>
      <c r="N262" s="320"/>
      <c r="O262" s="321"/>
      <c r="P262" s="320"/>
      <c r="Q262" s="321"/>
      <c r="R262" s="320"/>
      <c r="S262" s="321"/>
      <c r="T262" s="320"/>
      <c r="U262" s="321"/>
      <c r="V262" s="320"/>
      <c r="W262" s="321"/>
      <c r="X262" s="320"/>
      <c r="Y262" s="302"/>
      <c r="Z262" s="302"/>
      <c r="AA262" s="293"/>
    </row>
    <row r="263" spans="1:27" s="276" customFormat="1" ht="21.75" customHeight="1" x14ac:dyDescent="0.2">
      <c r="A263" s="294" t="s">
        <v>225</v>
      </c>
      <c r="B263" s="289"/>
      <c r="C263" s="289"/>
      <c r="D263" s="290"/>
      <c r="E263" s="290"/>
      <c r="F263" s="366" t="s">
        <v>224</v>
      </c>
      <c r="G263" s="366"/>
      <c r="H263" s="322"/>
      <c r="I263" s="322"/>
      <c r="J263" s="323"/>
      <c r="K263" s="322"/>
      <c r="L263" s="324"/>
      <c r="M263" s="324"/>
      <c r="N263" s="324"/>
      <c r="O263" s="325"/>
      <c r="P263" s="324"/>
      <c r="Q263" s="325"/>
      <c r="R263" s="324"/>
      <c r="S263" s="325"/>
      <c r="T263" s="324"/>
      <c r="U263" s="325"/>
      <c r="V263" s="324"/>
      <c r="W263" s="325"/>
      <c r="X263" s="324"/>
      <c r="Y263" s="303"/>
      <c r="Z263" s="303"/>
      <c r="AA263" s="294"/>
    </row>
    <row r="264" spans="1:27" s="276" customFormat="1" ht="21.75" customHeight="1" x14ac:dyDescent="0.2">
      <c r="A264" s="293" t="s">
        <v>226</v>
      </c>
      <c r="B264" s="287">
        <v>0.46597222222222223</v>
      </c>
      <c r="C264" s="287">
        <v>0.62638888888888888</v>
      </c>
      <c r="D264" s="287">
        <v>0.46597222222222223</v>
      </c>
      <c r="E264" s="287">
        <v>0.62638888888888888</v>
      </c>
      <c r="F264" s="288">
        <v>0.47916666666666669</v>
      </c>
      <c r="G264" s="288">
        <v>0.62638888888888888</v>
      </c>
      <c r="H264" s="318"/>
      <c r="I264" s="318"/>
      <c r="J264" s="319"/>
      <c r="K264" s="318"/>
      <c r="L264" s="320"/>
      <c r="M264" s="320"/>
      <c r="N264" s="320"/>
      <c r="O264" s="321"/>
      <c r="P264" s="320"/>
      <c r="Q264" s="321"/>
      <c r="R264" s="320"/>
      <c r="S264" s="321"/>
      <c r="T264" s="320"/>
      <c r="U264" s="321"/>
      <c r="V264" s="320"/>
      <c r="W264" s="321"/>
      <c r="X264" s="320"/>
      <c r="Y264" s="298">
        <v>0</v>
      </c>
      <c r="Z264" s="298">
        <v>0</v>
      </c>
      <c r="AA264" s="293"/>
    </row>
    <row r="265" spans="1:27" s="276" customFormat="1" ht="21.75" customHeight="1" x14ac:dyDescent="0.2">
      <c r="A265" s="294" t="s">
        <v>226</v>
      </c>
      <c r="B265" s="286">
        <v>0.74722222222222223</v>
      </c>
      <c r="C265" s="286">
        <v>0.97916666666666663</v>
      </c>
      <c r="D265" s="286">
        <v>0.74722222222222223</v>
      </c>
      <c r="E265" s="286">
        <v>0.97916666666666663</v>
      </c>
      <c r="F265" s="307">
        <v>0.79305555555555562</v>
      </c>
      <c r="G265" s="307">
        <v>0.97916666666666663</v>
      </c>
      <c r="H265" s="322"/>
      <c r="I265" s="322"/>
      <c r="J265" s="323"/>
      <c r="K265" s="322"/>
      <c r="L265" s="324">
        <v>1</v>
      </c>
      <c r="M265" s="324"/>
      <c r="N265" s="324"/>
      <c r="O265" s="325"/>
      <c r="P265" s="324"/>
      <c r="Q265" s="325"/>
      <c r="R265" s="324"/>
      <c r="S265" s="325">
        <v>1.5</v>
      </c>
      <c r="T265" s="324"/>
      <c r="U265" s="325"/>
      <c r="V265" s="324"/>
      <c r="W265" s="325"/>
      <c r="X265" s="324"/>
      <c r="Y265" s="299">
        <v>0</v>
      </c>
      <c r="Z265" s="299">
        <v>0</v>
      </c>
      <c r="AA265" s="294"/>
    </row>
    <row r="266" spans="1:27" s="276" customFormat="1" ht="21.75" customHeight="1" x14ac:dyDescent="0.2">
      <c r="A266" s="293" t="s">
        <v>228</v>
      </c>
      <c r="B266" s="287">
        <v>0.46597222222222223</v>
      </c>
      <c r="C266" s="287">
        <v>0.62777777777777777</v>
      </c>
      <c r="D266" s="287">
        <v>0.46597222222222223</v>
      </c>
      <c r="E266" s="287">
        <v>0.62777777777777777</v>
      </c>
      <c r="F266" s="288">
        <v>0.47916666666666669</v>
      </c>
      <c r="G266" s="288">
        <v>0.62777777777777777</v>
      </c>
      <c r="H266" s="318"/>
      <c r="I266" s="318"/>
      <c r="J266" s="319"/>
      <c r="K266" s="318"/>
      <c r="L266" s="320"/>
      <c r="M266" s="320"/>
      <c r="N266" s="320"/>
      <c r="O266" s="321"/>
      <c r="P266" s="320"/>
      <c r="Q266" s="321"/>
      <c r="R266" s="320"/>
      <c r="S266" s="321"/>
      <c r="T266" s="320"/>
      <c r="U266" s="321"/>
      <c r="V266" s="320"/>
      <c r="W266" s="321"/>
      <c r="X266" s="320"/>
      <c r="Y266" s="298">
        <v>0</v>
      </c>
      <c r="Z266" s="298">
        <v>0</v>
      </c>
      <c r="AA266" s="293"/>
    </row>
    <row r="267" spans="1:27" s="276" customFormat="1" ht="21.75" customHeight="1" x14ac:dyDescent="0.2">
      <c r="A267" s="294" t="s">
        <v>228</v>
      </c>
      <c r="B267" s="286">
        <v>0.74930555555555556</v>
      </c>
      <c r="C267" s="286">
        <v>0.97916666666666663</v>
      </c>
      <c r="D267" s="286">
        <v>0.74930555555555556</v>
      </c>
      <c r="E267" s="286">
        <v>0.97916666666666663</v>
      </c>
      <c r="F267" s="307">
        <v>0.7944444444444444</v>
      </c>
      <c r="G267" s="307">
        <v>0.97916666666666663</v>
      </c>
      <c r="H267" s="322"/>
      <c r="I267" s="322"/>
      <c r="J267" s="323"/>
      <c r="K267" s="322"/>
      <c r="L267" s="324">
        <v>1</v>
      </c>
      <c r="M267" s="324"/>
      <c r="N267" s="324"/>
      <c r="O267" s="325"/>
      <c r="P267" s="324"/>
      <c r="Q267" s="325"/>
      <c r="R267" s="324"/>
      <c r="S267" s="325">
        <v>1.5</v>
      </c>
      <c r="T267" s="324"/>
      <c r="U267" s="325"/>
      <c r="V267" s="324"/>
      <c r="W267" s="325"/>
      <c r="X267" s="324"/>
      <c r="Y267" s="299">
        <v>0</v>
      </c>
      <c r="Z267" s="299">
        <v>0</v>
      </c>
      <c r="AA267" s="294"/>
    </row>
    <row r="268" spans="1:27" s="276" customFormat="1" ht="21.75" customHeight="1" x14ac:dyDescent="0.2">
      <c r="A268" s="293" t="s">
        <v>229</v>
      </c>
      <c r="B268" s="300"/>
      <c r="C268" s="300"/>
      <c r="D268" s="301"/>
      <c r="E268" s="301"/>
      <c r="F268" s="365" t="s">
        <v>173</v>
      </c>
      <c r="G268" s="365"/>
      <c r="H268" s="318"/>
      <c r="I268" s="318"/>
      <c r="J268" s="319"/>
      <c r="K268" s="318"/>
      <c r="L268" s="320"/>
      <c r="M268" s="320"/>
      <c r="N268" s="320"/>
      <c r="O268" s="321"/>
      <c r="P268" s="320"/>
      <c r="Q268" s="321"/>
      <c r="R268" s="320"/>
      <c r="S268" s="321"/>
      <c r="T268" s="320"/>
      <c r="U268" s="321"/>
      <c r="V268" s="320"/>
      <c r="W268" s="321"/>
      <c r="X268" s="320"/>
      <c r="Y268" s="302"/>
      <c r="Z268" s="302"/>
      <c r="AA268" s="293"/>
    </row>
    <row r="269" spans="1:27" s="276" customFormat="1" ht="21.75" customHeight="1" x14ac:dyDescent="0.2">
      <c r="A269" s="294" t="s">
        <v>231</v>
      </c>
      <c r="B269" s="289"/>
      <c r="C269" s="289"/>
      <c r="D269" s="290"/>
      <c r="E269" s="290"/>
      <c r="F269" s="366" t="s">
        <v>173</v>
      </c>
      <c r="G269" s="366"/>
      <c r="H269" s="322"/>
      <c r="I269" s="322"/>
      <c r="J269" s="323"/>
      <c r="K269" s="322"/>
      <c r="L269" s="324"/>
      <c r="M269" s="324"/>
      <c r="N269" s="324"/>
      <c r="O269" s="325"/>
      <c r="P269" s="324"/>
      <c r="Q269" s="325"/>
      <c r="R269" s="324"/>
      <c r="S269" s="325"/>
      <c r="T269" s="324"/>
      <c r="U269" s="325"/>
      <c r="V269" s="324"/>
      <c r="W269" s="325"/>
      <c r="X269" s="324"/>
      <c r="Y269" s="303"/>
      <c r="Z269" s="303"/>
      <c r="AA269" s="294"/>
    </row>
    <row r="270" spans="1:27" s="276" customFormat="1" ht="21.75" customHeight="1" x14ac:dyDescent="0.2">
      <c r="A270" s="294" t="s">
        <v>232</v>
      </c>
      <c r="B270" s="286">
        <v>0.35555555555555557</v>
      </c>
      <c r="C270" s="286">
        <v>0.58680555555555558</v>
      </c>
      <c r="D270" s="286">
        <v>0.35555555555555557</v>
      </c>
      <c r="E270" s="286">
        <v>0.58680555555555558</v>
      </c>
      <c r="F270" s="307">
        <v>0.375</v>
      </c>
      <c r="G270" s="307">
        <v>0.58680555555555558</v>
      </c>
      <c r="H270" s="322"/>
      <c r="I270" s="322"/>
      <c r="J270" s="323"/>
      <c r="K270" s="322"/>
      <c r="L270" s="324"/>
      <c r="M270" s="324"/>
      <c r="N270" s="324"/>
      <c r="O270" s="325"/>
      <c r="P270" s="324"/>
      <c r="Q270" s="325"/>
      <c r="R270" s="324"/>
      <c r="S270" s="325"/>
      <c r="T270" s="324"/>
      <c r="U270" s="325"/>
      <c r="V270" s="324"/>
      <c r="W270" s="325"/>
      <c r="X270" s="324"/>
      <c r="Y270" s="299">
        <v>0</v>
      </c>
      <c r="Z270" s="299">
        <v>0</v>
      </c>
      <c r="AA270" s="294"/>
    </row>
    <row r="271" spans="1:27" s="276" customFormat="1" ht="21.75" customHeight="1" x14ac:dyDescent="0.2">
      <c r="A271" s="293" t="s">
        <v>232</v>
      </c>
      <c r="B271" s="287">
        <v>0.62430555555555556</v>
      </c>
      <c r="C271" s="287">
        <v>0.75208333333333333</v>
      </c>
      <c r="D271" s="287">
        <v>0.62430555555555556</v>
      </c>
      <c r="E271" s="287">
        <v>0.75208333333333333</v>
      </c>
      <c r="F271" s="288">
        <v>0.62847222222222221</v>
      </c>
      <c r="G271" s="288">
        <v>0.75</v>
      </c>
      <c r="H271" s="318"/>
      <c r="I271" s="318"/>
      <c r="J271" s="319"/>
      <c r="K271" s="318"/>
      <c r="L271" s="320">
        <v>1</v>
      </c>
      <c r="M271" s="320"/>
      <c r="N271" s="320"/>
      <c r="O271" s="321"/>
      <c r="P271" s="320"/>
      <c r="Q271" s="321"/>
      <c r="R271" s="320"/>
      <c r="S271" s="321"/>
      <c r="T271" s="320"/>
      <c r="U271" s="321"/>
      <c r="V271" s="320"/>
      <c r="W271" s="321"/>
      <c r="X271" s="320"/>
      <c r="Y271" s="298">
        <v>0</v>
      </c>
      <c r="Z271" s="298">
        <v>0</v>
      </c>
      <c r="AA271" s="293"/>
    </row>
    <row r="272" spans="1:27" s="276" customFormat="1" ht="21.75" customHeight="1" x14ac:dyDescent="0.2">
      <c r="A272" s="294" t="s">
        <v>233</v>
      </c>
      <c r="B272" s="286">
        <v>0.36388888888888887</v>
      </c>
      <c r="C272" s="286">
        <v>0.58819444444444446</v>
      </c>
      <c r="D272" s="286">
        <v>0.36388888888888887</v>
      </c>
      <c r="E272" s="286">
        <v>0.58819444444444446</v>
      </c>
      <c r="F272" s="381"/>
      <c r="G272" s="381"/>
      <c r="H272" s="322"/>
      <c r="I272" s="322"/>
      <c r="J272" s="323"/>
      <c r="K272" s="322"/>
      <c r="L272" s="324"/>
      <c r="M272" s="324"/>
      <c r="N272" s="324"/>
      <c r="O272" s="325"/>
      <c r="P272" s="324"/>
      <c r="Q272" s="325"/>
      <c r="R272" s="324"/>
      <c r="S272" s="325"/>
      <c r="T272" s="324"/>
      <c r="U272" s="325"/>
      <c r="V272" s="324"/>
      <c r="W272" s="325"/>
      <c r="X272" s="324"/>
      <c r="Y272" s="299">
        <v>0</v>
      </c>
      <c r="Z272" s="299">
        <v>0</v>
      </c>
      <c r="AA272" s="294"/>
    </row>
    <row r="273" spans="1:27" s="276" customFormat="1" ht="21.75" customHeight="1" x14ac:dyDescent="0.2">
      <c r="A273" s="293" t="s">
        <v>233</v>
      </c>
      <c r="B273" s="287">
        <v>0.62708333333333333</v>
      </c>
      <c r="C273" s="300"/>
      <c r="D273" s="287">
        <v>0.62708333333333333</v>
      </c>
      <c r="E273" s="301"/>
      <c r="F273" s="384" t="s">
        <v>177</v>
      </c>
      <c r="G273" s="379"/>
      <c r="H273" s="318"/>
      <c r="I273" s="318"/>
      <c r="J273" s="319"/>
      <c r="K273" s="318"/>
      <c r="L273" s="320">
        <v>1</v>
      </c>
      <c r="M273" s="320"/>
      <c r="N273" s="320"/>
      <c r="O273" s="321"/>
      <c r="P273" s="320"/>
      <c r="Q273" s="321"/>
      <c r="R273" s="320"/>
      <c r="S273" s="321"/>
      <c r="T273" s="320"/>
      <c r="U273" s="321"/>
      <c r="V273" s="320"/>
      <c r="W273" s="321"/>
      <c r="X273" s="320"/>
      <c r="Y273" s="298">
        <v>0</v>
      </c>
      <c r="Z273" s="298">
        <v>0</v>
      </c>
      <c r="AA273" s="293"/>
    </row>
    <row r="274" spans="1:27" s="276" customFormat="1" ht="21.75" customHeight="1" x14ac:dyDescent="0.2">
      <c r="A274" s="293" t="s">
        <v>234</v>
      </c>
      <c r="B274" s="300"/>
      <c r="C274" s="300"/>
      <c r="D274" s="301"/>
      <c r="E274" s="301"/>
      <c r="F274" s="383" t="s">
        <v>177</v>
      </c>
      <c r="G274" s="365"/>
      <c r="H274" s="318"/>
      <c r="I274" s="318"/>
      <c r="J274" s="319"/>
      <c r="K274" s="318"/>
      <c r="L274" s="320">
        <v>1</v>
      </c>
      <c r="M274" s="320"/>
      <c r="N274" s="320"/>
      <c r="O274" s="321"/>
      <c r="P274" s="320"/>
      <c r="Q274" s="321"/>
      <c r="R274" s="320"/>
      <c r="S274" s="321"/>
      <c r="T274" s="320"/>
      <c r="U274" s="321"/>
      <c r="V274" s="320"/>
      <c r="W274" s="321"/>
      <c r="X274" s="320"/>
      <c r="Y274" s="302"/>
      <c r="Z274" s="302"/>
      <c r="AA274" s="293"/>
    </row>
    <row r="275" spans="1:27" s="276" customFormat="1" ht="21.75" customHeight="1" x14ac:dyDescent="0.2">
      <c r="A275" s="294" t="s">
        <v>236</v>
      </c>
      <c r="B275" s="289"/>
      <c r="C275" s="289"/>
      <c r="D275" s="290"/>
      <c r="E275" s="290"/>
      <c r="F275" s="380" t="s">
        <v>177</v>
      </c>
      <c r="G275" s="366"/>
      <c r="H275" s="322"/>
      <c r="I275" s="322"/>
      <c r="J275" s="323"/>
      <c r="K275" s="322"/>
      <c r="L275" s="324">
        <v>1</v>
      </c>
      <c r="M275" s="324"/>
      <c r="N275" s="324"/>
      <c r="O275" s="325"/>
      <c r="P275" s="324"/>
      <c r="Q275" s="325"/>
      <c r="R275" s="324"/>
      <c r="S275" s="325"/>
      <c r="T275" s="324"/>
      <c r="U275" s="325"/>
      <c r="V275" s="324"/>
      <c r="W275" s="325"/>
      <c r="X275" s="324"/>
      <c r="Y275" s="303"/>
      <c r="Z275" s="303"/>
      <c r="AA275" s="294"/>
    </row>
    <row r="276" spans="1:27" s="276" customFormat="1" ht="21.75" customHeight="1" x14ac:dyDescent="0.2">
      <c r="A276" s="293" t="s">
        <v>237</v>
      </c>
      <c r="B276" s="300"/>
      <c r="C276" s="300"/>
      <c r="D276" s="301"/>
      <c r="E276" s="301"/>
      <c r="F276" s="383" t="s">
        <v>177</v>
      </c>
      <c r="G276" s="365"/>
      <c r="H276" s="318"/>
      <c r="I276" s="318"/>
      <c r="J276" s="319"/>
      <c r="K276" s="318"/>
      <c r="L276" s="320">
        <v>1</v>
      </c>
      <c r="M276" s="320"/>
      <c r="N276" s="320"/>
      <c r="O276" s="321"/>
      <c r="P276" s="320"/>
      <c r="Q276" s="321"/>
      <c r="R276" s="320"/>
      <c r="S276" s="321"/>
      <c r="T276" s="320"/>
      <c r="U276" s="321"/>
      <c r="V276" s="320"/>
      <c r="W276" s="321"/>
      <c r="X276" s="320"/>
      <c r="Y276" s="302"/>
      <c r="Z276" s="302"/>
      <c r="AA276" s="293"/>
    </row>
    <row r="277" spans="1:27" s="276" customFormat="1" ht="21.75" customHeight="1" x14ac:dyDescent="0.2">
      <c r="A277" s="281" t="s">
        <v>3</v>
      </c>
      <c r="B277" s="281"/>
      <c r="C277" s="281"/>
      <c r="D277" s="281"/>
      <c r="E277" s="281"/>
      <c r="F277" s="281"/>
      <c r="G277" s="281"/>
      <c r="H277" s="326">
        <f>SUM(H253:H276)</f>
        <v>0</v>
      </c>
      <c r="I277" s="326">
        <f t="shared" ref="I277:X277" si="10">SUM(I253:I276)</f>
        <v>0</v>
      </c>
      <c r="J277" s="326">
        <f t="shared" si="10"/>
        <v>0</v>
      </c>
      <c r="K277" s="326">
        <f t="shared" si="10"/>
        <v>0</v>
      </c>
      <c r="L277" s="326">
        <f t="shared" si="10"/>
        <v>10</v>
      </c>
      <c r="M277" s="326">
        <f t="shared" si="10"/>
        <v>0</v>
      </c>
      <c r="N277" s="326">
        <f t="shared" si="10"/>
        <v>0</v>
      </c>
      <c r="O277" s="326">
        <f t="shared" si="10"/>
        <v>0</v>
      </c>
      <c r="P277" s="326">
        <f t="shared" si="10"/>
        <v>0</v>
      </c>
      <c r="Q277" s="326">
        <f t="shared" si="10"/>
        <v>0</v>
      </c>
      <c r="R277" s="326">
        <f t="shared" si="10"/>
        <v>0</v>
      </c>
      <c r="S277" s="326">
        <f t="shared" si="10"/>
        <v>3</v>
      </c>
      <c r="T277" s="326">
        <f t="shared" si="10"/>
        <v>0</v>
      </c>
      <c r="U277" s="326">
        <f t="shared" si="10"/>
        <v>0</v>
      </c>
      <c r="V277" s="326">
        <f t="shared" si="10"/>
        <v>0</v>
      </c>
      <c r="W277" s="326">
        <f t="shared" si="10"/>
        <v>0</v>
      </c>
      <c r="X277" s="326">
        <f t="shared" si="10"/>
        <v>0</v>
      </c>
      <c r="Y277" s="296"/>
      <c r="Z277" s="296"/>
      <c r="AA277" s="281"/>
    </row>
    <row r="278" spans="1:27" s="276" customFormat="1" ht="21.75" customHeight="1" thickBot="1" x14ac:dyDescent="0.25">
      <c r="H278" s="327"/>
      <c r="I278" s="327"/>
      <c r="J278" s="327"/>
      <c r="K278" s="327"/>
      <c r="L278" s="328"/>
      <c r="M278" s="328"/>
      <c r="N278" s="328"/>
      <c r="O278" s="328"/>
      <c r="P278" s="328"/>
      <c r="Q278" s="328"/>
      <c r="R278" s="328"/>
      <c r="S278" s="328"/>
      <c r="T278" s="328"/>
      <c r="U278" s="328"/>
      <c r="V278" s="328"/>
      <c r="W278" s="328"/>
      <c r="X278" s="328"/>
      <c r="Y278" s="304"/>
      <c r="Z278" s="304"/>
    </row>
    <row r="279" spans="1:27" s="276" customFormat="1" ht="21.75" customHeight="1" thickBot="1" x14ac:dyDescent="0.25">
      <c r="A279" s="297" t="s">
        <v>169</v>
      </c>
      <c r="B279" s="285" t="s">
        <v>198</v>
      </c>
      <c r="C279" s="285"/>
      <c r="D279" s="285"/>
      <c r="E279" s="285"/>
      <c r="F279" s="285"/>
      <c r="G279" s="285"/>
      <c r="H279" s="369" t="s">
        <v>91</v>
      </c>
      <c r="I279" s="370"/>
      <c r="J279" s="370"/>
      <c r="K279" s="371"/>
      <c r="L279" s="372" t="s">
        <v>90</v>
      </c>
      <c r="M279" s="374" t="s">
        <v>157</v>
      </c>
      <c r="N279" s="374" t="s">
        <v>158</v>
      </c>
      <c r="O279" s="376" t="s">
        <v>159</v>
      </c>
      <c r="P279" s="377"/>
      <c r="Q279" s="378"/>
      <c r="R279" s="374" t="s">
        <v>160</v>
      </c>
      <c r="S279" s="376" t="s">
        <v>19</v>
      </c>
      <c r="T279" s="377"/>
      <c r="U279" s="378"/>
      <c r="V279" s="374" t="s">
        <v>124</v>
      </c>
      <c r="W279" s="374" t="s">
        <v>125</v>
      </c>
      <c r="X279" s="363" t="s">
        <v>105</v>
      </c>
      <c r="Y279" s="296" t="s">
        <v>161</v>
      </c>
      <c r="Z279" s="296"/>
      <c r="AA279" s="281" t="s">
        <v>162</v>
      </c>
    </row>
    <row r="280" spans="1:27" s="276" customFormat="1" ht="21.75" customHeight="1" thickBot="1" x14ac:dyDescent="0.25">
      <c r="A280" s="297" t="s">
        <v>171</v>
      </c>
      <c r="B280" s="285" t="s">
        <v>199</v>
      </c>
      <c r="C280" s="285"/>
      <c r="D280" s="285"/>
      <c r="E280" s="285"/>
      <c r="F280" s="285"/>
      <c r="G280" s="285"/>
      <c r="H280" s="282" t="s">
        <v>165</v>
      </c>
      <c r="I280" s="282" t="s">
        <v>93</v>
      </c>
      <c r="J280" s="282" t="s">
        <v>94</v>
      </c>
      <c r="K280" s="283" t="s">
        <v>166</v>
      </c>
      <c r="L280" s="373"/>
      <c r="M280" s="375"/>
      <c r="N280" s="375"/>
      <c r="O280" s="284" t="s">
        <v>167</v>
      </c>
      <c r="P280" s="284" t="s">
        <v>168</v>
      </c>
      <c r="Q280" s="315" t="s">
        <v>125</v>
      </c>
      <c r="R280" s="375"/>
      <c r="S280" s="284" t="s">
        <v>167</v>
      </c>
      <c r="T280" s="284" t="s">
        <v>168</v>
      </c>
      <c r="U280" s="315" t="s">
        <v>125</v>
      </c>
      <c r="V280" s="375"/>
      <c r="W280" s="375"/>
      <c r="X280" s="364"/>
      <c r="Y280" s="296" t="s">
        <v>163</v>
      </c>
      <c r="Z280" s="296" t="s">
        <v>164</v>
      </c>
      <c r="AA280" s="281"/>
    </row>
    <row r="281" spans="1:27" s="276" customFormat="1" ht="21.75" customHeight="1" x14ac:dyDescent="0.2">
      <c r="A281" s="293" t="s">
        <v>216</v>
      </c>
      <c r="B281" s="287">
        <v>0.45347222222222222</v>
      </c>
      <c r="C281" s="287">
        <v>0.62708333333333333</v>
      </c>
      <c r="D281" s="287">
        <v>0.45347222222222222</v>
      </c>
      <c r="E281" s="287">
        <v>0.62708333333333333</v>
      </c>
      <c r="F281" s="288">
        <v>0.45833333333333331</v>
      </c>
      <c r="G281" s="288">
        <v>0.91666666666666663</v>
      </c>
      <c r="H281" s="318"/>
      <c r="I281" s="318"/>
      <c r="J281" s="319"/>
      <c r="K281" s="318"/>
      <c r="L281" s="320">
        <v>1</v>
      </c>
      <c r="M281" s="320"/>
      <c r="N281" s="320"/>
      <c r="O281" s="321"/>
      <c r="P281" s="320"/>
      <c r="Q281" s="321"/>
      <c r="R281" s="320"/>
      <c r="S281" s="321"/>
      <c r="T281" s="320"/>
      <c r="U281" s="321"/>
      <c r="V281" s="320"/>
      <c r="W281" s="321"/>
      <c r="X281" s="320"/>
      <c r="Y281" s="298">
        <v>0</v>
      </c>
      <c r="Z281" s="298">
        <v>0</v>
      </c>
      <c r="AA281" s="293" t="s">
        <v>256</v>
      </c>
    </row>
    <row r="282" spans="1:27" s="276" customFormat="1" ht="21.75" customHeight="1" x14ac:dyDescent="0.2">
      <c r="A282" s="294" t="s">
        <v>218</v>
      </c>
      <c r="B282" s="286">
        <v>0.44027777777777777</v>
      </c>
      <c r="C282" s="286">
        <v>0.62708333333333333</v>
      </c>
      <c r="D282" s="286">
        <v>0.44027777777777777</v>
      </c>
      <c r="E282" s="286">
        <v>0.62708333333333333</v>
      </c>
      <c r="F282" s="307">
        <v>0.45833333333333331</v>
      </c>
      <c r="G282" s="307">
        <v>0.62708333333333333</v>
      </c>
      <c r="H282" s="322"/>
      <c r="I282" s="322"/>
      <c r="J282" s="323"/>
      <c r="K282" s="322"/>
      <c r="L282" s="324"/>
      <c r="M282" s="324"/>
      <c r="N282" s="324"/>
      <c r="O282" s="325"/>
      <c r="P282" s="324"/>
      <c r="Q282" s="325"/>
      <c r="R282" s="324"/>
      <c r="S282" s="325"/>
      <c r="T282" s="324"/>
      <c r="U282" s="325"/>
      <c r="V282" s="324"/>
      <c r="W282" s="325"/>
      <c r="X282" s="324"/>
      <c r="Y282" s="299">
        <v>0</v>
      </c>
      <c r="Z282" s="299">
        <v>0</v>
      </c>
      <c r="AA282" s="294"/>
    </row>
    <row r="283" spans="1:27" s="276" customFormat="1" ht="21.75" customHeight="1" x14ac:dyDescent="0.2">
      <c r="A283" s="293" t="s">
        <v>218</v>
      </c>
      <c r="B283" s="287">
        <v>0.74513888888888891</v>
      </c>
      <c r="C283" s="287">
        <v>0.91805555555555562</v>
      </c>
      <c r="D283" s="287">
        <v>0.74513888888888891</v>
      </c>
      <c r="E283" s="287">
        <v>0.91805555555555562</v>
      </c>
      <c r="F283" s="288">
        <v>0.75138888888888899</v>
      </c>
      <c r="G283" s="288">
        <v>0.91666666666666663</v>
      </c>
      <c r="H283" s="318"/>
      <c r="I283" s="318"/>
      <c r="J283" s="319"/>
      <c r="K283" s="318"/>
      <c r="L283" s="320">
        <v>1</v>
      </c>
      <c r="M283" s="320"/>
      <c r="N283" s="320"/>
      <c r="O283" s="321"/>
      <c r="P283" s="320"/>
      <c r="Q283" s="321"/>
      <c r="R283" s="320"/>
      <c r="S283" s="321"/>
      <c r="T283" s="320"/>
      <c r="U283" s="321"/>
      <c r="V283" s="320"/>
      <c r="W283" s="321"/>
      <c r="X283" s="320"/>
      <c r="Y283" s="298">
        <v>0</v>
      </c>
      <c r="Z283" s="298">
        <v>0</v>
      </c>
      <c r="AA283" s="293"/>
    </row>
    <row r="284" spans="1:27" s="276" customFormat="1" ht="21.75" customHeight="1" x14ac:dyDescent="0.2">
      <c r="A284" s="294" t="s">
        <v>219</v>
      </c>
      <c r="B284" s="289"/>
      <c r="C284" s="289"/>
      <c r="D284" s="290"/>
      <c r="E284" s="290"/>
      <c r="F284" s="366" t="s">
        <v>173</v>
      </c>
      <c r="G284" s="366"/>
      <c r="H284" s="322"/>
      <c r="I284" s="322"/>
      <c r="J284" s="323"/>
      <c r="K284" s="322"/>
      <c r="L284" s="324"/>
      <c r="M284" s="324"/>
      <c r="N284" s="324"/>
      <c r="O284" s="325"/>
      <c r="P284" s="324"/>
      <c r="Q284" s="325"/>
      <c r="R284" s="324"/>
      <c r="S284" s="325"/>
      <c r="T284" s="324"/>
      <c r="U284" s="325"/>
      <c r="V284" s="324"/>
      <c r="W284" s="325"/>
      <c r="X284" s="324"/>
      <c r="Y284" s="303"/>
      <c r="Z284" s="303"/>
      <c r="AA284" s="294"/>
    </row>
    <row r="285" spans="1:27" s="276" customFormat="1" ht="21.75" customHeight="1" x14ac:dyDescent="0.2">
      <c r="A285" s="293" t="s">
        <v>220</v>
      </c>
      <c r="B285" s="300"/>
      <c r="C285" s="300"/>
      <c r="D285" s="301"/>
      <c r="E285" s="301"/>
      <c r="F285" s="365" t="s">
        <v>173</v>
      </c>
      <c r="G285" s="365"/>
      <c r="H285" s="318"/>
      <c r="I285" s="318"/>
      <c r="J285" s="319"/>
      <c r="K285" s="318"/>
      <c r="L285" s="320"/>
      <c r="M285" s="320"/>
      <c r="N285" s="320"/>
      <c r="O285" s="321"/>
      <c r="P285" s="320"/>
      <c r="Q285" s="321"/>
      <c r="R285" s="320"/>
      <c r="S285" s="321"/>
      <c r="T285" s="320"/>
      <c r="U285" s="321"/>
      <c r="V285" s="320"/>
      <c r="W285" s="321"/>
      <c r="X285" s="320"/>
      <c r="Y285" s="302"/>
      <c r="Z285" s="302"/>
      <c r="AA285" s="293"/>
    </row>
    <row r="286" spans="1:27" s="276" customFormat="1" ht="21.75" customHeight="1" x14ac:dyDescent="0.2">
      <c r="A286" s="294" t="s">
        <v>222</v>
      </c>
      <c r="B286" s="286">
        <v>0.4513888888888889</v>
      </c>
      <c r="C286" s="286">
        <v>0.625</v>
      </c>
      <c r="D286" s="286">
        <v>0.4513888888888889</v>
      </c>
      <c r="E286" s="286">
        <v>0.625</v>
      </c>
      <c r="F286" s="307">
        <v>0.45833333333333331</v>
      </c>
      <c r="G286" s="307">
        <v>0.625</v>
      </c>
      <c r="H286" s="322"/>
      <c r="I286" s="322"/>
      <c r="J286" s="323"/>
      <c r="K286" s="322"/>
      <c r="L286" s="324"/>
      <c r="M286" s="324"/>
      <c r="N286" s="324"/>
      <c r="O286" s="325"/>
      <c r="P286" s="324"/>
      <c r="Q286" s="325"/>
      <c r="R286" s="324"/>
      <c r="S286" s="325"/>
      <c r="T286" s="324"/>
      <c r="U286" s="325"/>
      <c r="V286" s="324"/>
      <c r="W286" s="325"/>
      <c r="X286" s="324"/>
      <c r="Y286" s="299">
        <v>0</v>
      </c>
      <c r="Z286" s="299">
        <v>0</v>
      </c>
      <c r="AA286" s="294"/>
    </row>
    <row r="287" spans="1:27" s="276" customFormat="1" ht="21.75" customHeight="1" x14ac:dyDescent="0.2">
      <c r="A287" s="294" t="s">
        <v>222</v>
      </c>
      <c r="B287" s="286">
        <v>0.73749999999999993</v>
      </c>
      <c r="C287" s="286">
        <v>0.97986111111111107</v>
      </c>
      <c r="D287" s="286">
        <v>0.73749999999999993</v>
      </c>
      <c r="E287" s="286">
        <v>0.97986111111111107</v>
      </c>
      <c r="F287" s="307">
        <v>0.79166666666666663</v>
      </c>
      <c r="G287" s="307">
        <v>0.97916666666666663</v>
      </c>
      <c r="H287" s="322"/>
      <c r="I287" s="322"/>
      <c r="J287" s="323"/>
      <c r="K287" s="322"/>
      <c r="L287" s="324"/>
      <c r="M287" s="324"/>
      <c r="N287" s="324"/>
      <c r="O287" s="325"/>
      <c r="P287" s="324"/>
      <c r="Q287" s="325"/>
      <c r="R287" s="324"/>
      <c r="S287" s="325"/>
      <c r="T287" s="324"/>
      <c r="U287" s="325"/>
      <c r="V287" s="324"/>
      <c r="W287" s="325"/>
      <c r="X287" s="324"/>
      <c r="Y287" s="299">
        <v>0</v>
      </c>
      <c r="Z287" s="299">
        <v>0</v>
      </c>
      <c r="AA287" s="294"/>
    </row>
    <row r="288" spans="1:27" s="276" customFormat="1" ht="21.75" customHeight="1" x14ac:dyDescent="0.2">
      <c r="A288" s="293" t="s">
        <v>222</v>
      </c>
      <c r="B288" s="287">
        <v>0.98125000000000007</v>
      </c>
      <c r="C288" s="287">
        <v>0.98125000000000007</v>
      </c>
      <c r="D288" s="287">
        <v>0.98125000000000007</v>
      </c>
      <c r="E288" s="287">
        <v>0.98125000000000007</v>
      </c>
      <c r="F288" s="379"/>
      <c r="G288" s="379"/>
      <c r="H288" s="318"/>
      <c r="I288" s="318"/>
      <c r="J288" s="319"/>
      <c r="K288" s="318"/>
      <c r="L288" s="320">
        <v>1</v>
      </c>
      <c r="M288" s="320"/>
      <c r="N288" s="320"/>
      <c r="O288" s="321"/>
      <c r="P288" s="320"/>
      <c r="Q288" s="321"/>
      <c r="R288" s="320"/>
      <c r="S288" s="321">
        <v>1.5</v>
      </c>
      <c r="T288" s="320"/>
      <c r="U288" s="321"/>
      <c r="V288" s="320"/>
      <c r="W288" s="321"/>
      <c r="X288" s="320"/>
      <c r="Y288" s="298">
        <v>0</v>
      </c>
      <c r="Z288" s="298">
        <v>0</v>
      </c>
      <c r="AA288" s="293"/>
    </row>
    <row r="289" spans="1:27" s="276" customFormat="1" ht="21.75" customHeight="1" x14ac:dyDescent="0.2">
      <c r="A289" s="293" t="s">
        <v>223</v>
      </c>
      <c r="B289" s="300"/>
      <c r="C289" s="300"/>
      <c r="D289" s="301"/>
      <c r="E289" s="301"/>
      <c r="F289" s="365" t="s">
        <v>224</v>
      </c>
      <c r="G289" s="365"/>
      <c r="H289" s="318"/>
      <c r="I289" s="318"/>
      <c r="J289" s="319"/>
      <c r="K289" s="318"/>
      <c r="L289" s="320"/>
      <c r="M289" s="320"/>
      <c r="N289" s="320"/>
      <c r="O289" s="321"/>
      <c r="P289" s="320"/>
      <c r="Q289" s="321"/>
      <c r="R289" s="320"/>
      <c r="S289" s="321"/>
      <c r="T289" s="320"/>
      <c r="U289" s="321"/>
      <c r="V289" s="320"/>
      <c r="W289" s="321"/>
      <c r="X289" s="320"/>
      <c r="Y289" s="302"/>
      <c r="Z289" s="302"/>
      <c r="AA289" s="293"/>
    </row>
    <row r="290" spans="1:27" s="276" customFormat="1" ht="21.75" customHeight="1" x14ac:dyDescent="0.2">
      <c r="A290" s="294" t="s">
        <v>225</v>
      </c>
      <c r="B290" s="289"/>
      <c r="C290" s="289"/>
      <c r="D290" s="290"/>
      <c r="E290" s="290"/>
      <c r="F290" s="366" t="s">
        <v>224</v>
      </c>
      <c r="G290" s="366"/>
      <c r="H290" s="322"/>
      <c r="I290" s="322"/>
      <c r="J290" s="323"/>
      <c r="K290" s="322"/>
      <c r="L290" s="324"/>
      <c r="M290" s="324"/>
      <c r="N290" s="324"/>
      <c r="O290" s="325"/>
      <c r="P290" s="324"/>
      <c r="Q290" s="325"/>
      <c r="R290" s="324"/>
      <c r="S290" s="325"/>
      <c r="T290" s="324"/>
      <c r="U290" s="325"/>
      <c r="V290" s="324"/>
      <c r="W290" s="325"/>
      <c r="X290" s="324"/>
      <c r="Y290" s="303"/>
      <c r="Z290" s="303"/>
      <c r="AA290" s="294"/>
    </row>
    <row r="291" spans="1:27" s="276" customFormat="1" ht="21.75" customHeight="1" x14ac:dyDescent="0.2">
      <c r="A291" s="294" t="s">
        <v>226</v>
      </c>
      <c r="B291" s="286">
        <v>0.41597222222222219</v>
      </c>
      <c r="C291" s="286">
        <v>0.625</v>
      </c>
      <c r="D291" s="286">
        <v>0.41597222222222219</v>
      </c>
      <c r="E291" s="286">
        <v>0.625</v>
      </c>
      <c r="F291" s="307">
        <v>0.41666666666666669</v>
      </c>
      <c r="G291" s="307">
        <v>0.62638888888888888</v>
      </c>
      <c r="H291" s="322"/>
      <c r="I291" s="322"/>
      <c r="J291" s="323"/>
      <c r="K291" s="322"/>
      <c r="L291" s="324"/>
      <c r="M291" s="324"/>
      <c r="N291" s="324"/>
      <c r="O291" s="325"/>
      <c r="P291" s="324"/>
      <c r="Q291" s="325"/>
      <c r="R291" s="324"/>
      <c r="S291" s="325"/>
      <c r="T291" s="324"/>
      <c r="U291" s="325"/>
      <c r="V291" s="324"/>
      <c r="W291" s="325"/>
      <c r="X291" s="324"/>
      <c r="Y291" s="299">
        <v>0</v>
      </c>
      <c r="Z291" s="299">
        <v>0</v>
      </c>
      <c r="AA291" s="294"/>
    </row>
    <row r="292" spans="1:27" s="276" customFormat="1" ht="21.75" customHeight="1" x14ac:dyDescent="0.2">
      <c r="A292" s="293" t="s">
        <v>226</v>
      </c>
      <c r="B292" s="287">
        <v>0.74583333333333324</v>
      </c>
      <c r="C292" s="287">
        <v>0.91736111111111107</v>
      </c>
      <c r="D292" s="287">
        <v>0.74583333333333324</v>
      </c>
      <c r="E292" s="287">
        <v>0.91736111111111107</v>
      </c>
      <c r="F292" s="288">
        <v>0.75138888888888899</v>
      </c>
      <c r="G292" s="288">
        <v>0.91666666666666663</v>
      </c>
      <c r="H292" s="318"/>
      <c r="I292" s="318"/>
      <c r="J292" s="319"/>
      <c r="K292" s="318"/>
      <c r="L292" s="320">
        <v>1</v>
      </c>
      <c r="M292" s="320"/>
      <c r="N292" s="320"/>
      <c r="O292" s="321"/>
      <c r="P292" s="320"/>
      <c r="Q292" s="321"/>
      <c r="R292" s="320"/>
      <c r="S292" s="321"/>
      <c r="T292" s="320"/>
      <c r="U292" s="321"/>
      <c r="V292" s="320"/>
      <c r="W292" s="321"/>
      <c r="X292" s="320"/>
      <c r="Y292" s="298">
        <v>0</v>
      </c>
      <c r="Z292" s="298">
        <v>0</v>
      </c>
      <c r="AA292" s="293"/>
    </row>
    <row r="293" spans="1:27" s="276" customFormat="1" ht="21.75" customHeight="1" x14ac:dyDescent="0.2">
      <c r="A293" s="293" t="s">
        <v>228</v>
      </c>
      <c r="B293" s="287">
        <v>0.4291666666666667</v>
      </c>
      <c r="C293" s="287">
        <v>0.63055555555555554</v>
      </c>
      <c r="D293" s="287">
        <v>0.4291666666666667</v>
      </c>
      <c r="E293" s="287">
        <v>0.63055555555555554</v>
      </c>
      <c r="F293" s="288">
        <v>0.45833333333333331</v>
      </c>
      <c r="G293" s="288">
        <v>0.63055555555555554</v>
      </c>
      <c r="H293" s="318"/>
      <c r="I293" s="318"/>
      <c r="J293" s="319"/>
      <c r="K293" s="318"/>
      <c r="L293" s="320"/>
      <c r="M293" s="320"/>
      <c r="N293" s="320"/>
      <c r="O293" s="321"/>
      <c r="P293" s="320"/>
      <c r="Q293" s="321"/>
      <c r="R293" s="320"/>
      <c r="S293" s="321"/>
      <c r="T293" s="320"/>
      <c r="U293" s="321"/>
      <c r="V293" s="320"/>
      <c r="W293" s="321"/>
      <c r="X293" s="320"/>
      <c r="Y293" s="298">
        <v>0</v>
      </c>
      <c r="Z293" s="298">
        <v>0</v>
      </c>
      <c r="AA293" s="293"/>
    </row>
    <row r="294" spans="1:27" s="276" customFormat="1" ht="21.75" customHeight="1" x14ac:dyDescent="0.2">
      <c r="A294" s="294" t="s">
        <v>228</v>
      </c>
      <c r="B294" s="286">
        <v>0.72777777777777775</v>
      </c>
      <c r="C294" s="286">
        <v>0.91805555555555562</v>
      </c>
      <c r="D294" s="286">
        <v>0.72777777777777775</v>
      </c>
      <c r="E294" s="286">
        <v>0.91805555555555562</v>
      </c>
      <c r="F294" s="307">
        <v>0.75555555555555554</v>
      </c>
      <c r="G294" s="307">
        <v>0.91666666666666663</v>
      </c>
      <c r="H294" s="322"/>
      <c r="I294" s="322"/>
      <c r="J294" s="323"/>
      <c r="K294" s="322"/>
      <c r="L294" s="324">
        <v>1</v>
      </c>
      <c r="M294" s="324"/>
      <c r="N294" s="324"/>
      <c r="O294" s="325"/>
      <c r="P294" s="324"/>
      <c r="Q294" s="325"/>
      <c r="R294" s="324"/>
      <c r="S294" s="325"/>
      <c r="T294" s="324"/>
      <c r="U294" s="325"/>
      <c r="V294" s="324"/>
      <c r="W294" s="325"/>
      <c r="X294" s="324"/>
      <c r="Y294" s="299">
        <v>0</v>
      </c>
      <c r="Z294" s="299">
        <v>0</v>
      </c>
      <c r="AA294" s="294"/>
    </row>
    <row r="295" spans="1:27" s="276" customFormat="1" ht="21.75" customHeight="1" x14ac:dyDescent="0.2">
      <c r="A295" s="294" t="s">
        <v>229</v>
      </c>
      <c r="B295" s="286">
        <v>0.43958333333333338</v>
      </c>
      <c r="C295" s="286">
        <v>0.62777777777777777</v>
      </c>
      <c r="D295" s="286">
        <v>0.43958333333333338</v>
      </c>
      <c r="E295" s="286">
        <v>0.62777777777777777</v>
      </c>
      <c r="F295" s="307">
        <v>0.45833333333333331</v>
      </c>
      <c r="G295" s="307">
        <v>0.62777777777777777</v>
      </c>
      <c r="H295" s="322"/>
      <c r="I295" s="322"/>
      <c r="J295" s="323"/>
      <c r="K295" s="322"/>
      <c r="L295" s="324"/>
      <c r="M295" s="324"/>
      <c r="N295" s="324"/>
      <c r="O295" s="325"/>
      <c r="P295" s="324"/>
      <c r="Q295" s="325"/>
      <c r="R295" s="324"/>
      <c r="S295" s="325"/>
      <c r="T295" s="324"/>
      <c r="U295" s="325"/>
      <c r="V295" s="324"/>
      <c r="W295" s="325"/>
      <c r="X295" s="324"/>
      <c r="Y295" s="299">
        <v>0</v>
      </c>
      <c r="Z295" s="299">
        <v>0</v>
      </c>
      <c r="AA295" s="294"/>
    </row>
    <row r="296" spans="1:27" s="276" customFormat="1" ht="21.75" customHeight="1" x14ac:dyDescent="0.2">
      <c r="A296" s="293" t="s">
        <v>229</v>
      </c>
      <c r="B296" s="287">
        <v>0.69236111111111109</v>
      </c>
      <c r="C296" s="287">
        <v>0.875</v>
      </c>
      <c r="D296" s="287">
        <v>0.69236111111111109</v>
      </c>
      <c r="E296" s="287">
        <v>0.875</v>
      </c>
      <c r="F296" s="288">
        <v>0.71111111111111114</v>
      </c>
      <c r="G296" s="288">
        <v>0.875</v>
      </c>
      <c r="H296" s="318"/>
      <c r="I296" s="318"/>
      <c r="J296" s="319"/>
      <c r="K296" s="318"/>
      <c r="L296" s="320">
        <v>1</v>
      </c>
      <c r="M296" s="320"/>
      <c r="N296" s="320"/>
      <c r="O296" s="321"/>
      <c r="P296" s="320"/>
      <c r="Q296" s="321"/>
      <c r="R296" s="320"/>
      <c r="S296" s="321"/>
      <c r="T296" s="320"/>
      <c r="U296" s="321"/>
      <c r="V296" s="320"/>
      <c r="W296" s="321"/>
      <c r="X296" s="320"/>
      <c r="Y296" s="298">
        <v>0</v>
      </c>
      <c r="Z296" s="298">
        <v>0</v>
      </c>
      <c r="AA296" s="293"/>
    </row>
    <row r="297" spans="1:27" s="276" customFormat="1" ht="21.75" customHeight="1" x14ac:dyDescent="0.2">
      <c r="A297" s="293" t="s">
        <v>231</v>
      </c>
      <c r="B297" s="300"/>
      <c r="C297" s="300"/>
      <c r="D297" s="301"/>
      <c r="E297" s="301"/>
      <c r="F297" s="365" t="s">
        <v>173</v>
      </c>
      <c r="G297" s="365"/>
      <c r="H297" s="318"/>
      <c r="I297" s="318"/>
      <c r="J297" s="319"/>
      <c r="K297" s="318"/>
      <c r="L297" s="320"/>
      <c r="M297" s="320"/>
      <c r="N297" s="320"/>
      <c r="O297" s="321"/>
      <c r="P297" s="320"/>
      <c r="Q297" s="321"/>
      <c r="R297" s="320"/>
      <c r="S297" s="321"/>
      <c r="T297" s="320"/>
      <c r="U297" s="321"/>
      <c r="V297" s="320"/>
      <c r="W297" s="321"/>
      <c r="X297" s="320"/>
      <c r="Y297" s="302"/>
      <c r="Z297" s="302"/>
      <c r="AA297" s="293"/>
    </row>
    <row r="298" spans="1:27" s="276" customFormat="1" ht="21.75" customHeight="1" x14ac:dyDescent="0.2">
      <c r="A298" s="293" t="s">
        <v>232</v>
      </c>
      <c r="B298" s="287">
        <v>0.44513888888888892</v>
      </c>
      <c r="C298" s="287">
        <v>0.625</v>
      </c>
      <c r="D298" s="287">
        <v>0.44513888888888892</v>
      </c>
      <c r="E298" s="287">
        <v>0.625</v>
      </c>
      <c r="F298" s="379"/>
      <c r="G298" s="379"/>
      <c r="H298" s="318"/>
      <c r="I298" s="318"/>
      <c r="J298" s="319"/>
      <c r="K298" s="318"/>
      <c r="L298" s="320"/>
      <c r="M298" s="320"/>
      <c r="N298" s="320"/>
      <c r="O298" s="321"/>
      <c r="P298" s="320"/>
      <c r="Q298" s="321"/>
      <c r="R298" s="320"/>
      <c r="S298" s="321"/>
      <c r="T298" s="320"/>
      <c r="U298" s="321"/>
      <c r="V298" s="320"/>
      <c r="W298" s="321"/>
      <c r="X298" s="320"/>
      <c r="Y298" s="298">
        <v>0</v>
      </c>
      <c r="Z298" s="298">
        <v>0</v>
      </c>
      <c r="AA298" s="293"/>
    </row>
    <row r="299" spans="1:27" s="276" customFormat="1" ht="21.75" customHeight="1" x14ac:dyDescent="0.2">
      <c r="A299" s="294" t="s">
        <v>232</v>
      </c>
      <c r="B299" s="286">
        <v>0.75069444444444444</v>
      </c>
      <c r="C299" s="286">
        <v>0.91805555555555562</v>
      </c>
      <c r="D299" s="286">
        <v>0.75069444444444444</v>
      </c>
      <c r="E299" s="286">
        <v>0.91805555555555562</v>
      </c>
      <c r="F299" s="382" t="s">
        <v>257</v>
      </c>
      <c r="G299" s="381"/>
      <c r="H299" s="322"/>
      <c r="I299" s="322"/>
      <c r="J299" s="323"/>
      <c r="K299" s="322"/>
      <c r="L299" s="324">
        <v>1</v>
      </c>
      <c r="M299" s="324"/>
      <c r="N299" s="324"/>
      <c r="O299" s="325"/>
      <c r="P299" s="324"/>
      <c r="Q299" s="325"/>
      <c r="R299" s="324"/>
      <c r="S299" s="325"/>
      <c r="T299" s="324"/>
      <c r="U299" s="325"/>
      <c r="V299" s="324"/>
      <c r="W299" s="325"/>
      <c r="X299" s="324"/>
      <c r="Y299" s="299">
        <v>0</v>
      </c>
      <c r="Z299" s="299">
        <v>0</v>
      </c>
      <c r="AA299" s="294"/>
    </row>
    <row r="300" spans="1:27" s="276" customFormat="1" ht="21.75" customHeight="1" x14ac:dyDescent="0.2">
      <c r="A300" s="294" t="s">
        <v>233</v>
      </c>
      <c r="B300" s="286">
        <v>0.43888888888888888</v>
      </c>
      <c r="C300" s="286">
        <v>0.63055555555555554</v>
      </c>
      <c r="D300" s="286">
        <v>0.43888888888888888</v>
      </c>
      <c r="E300" s="286">
        <v>0.63055555555555554</v>
      </c>
      <c r="F300" s="382" t="s">
        <v>257</v>
      </c>
      <c r="G300" s="381"/>
      <c r="H300" s="322"/>
      <c r="I300" s="322"/>
      <c r="J300" s="323"/>
      <c r="K300" s="322"/>
      <c r="L300" s="324">
        <v>1</v>
      </c>
      <c r="M300" s="324"/>
      <c r="N300" s="324"/>
      <c r="O300" s="325"/>
      <c r="P300" s="324"/>
      <c r="Q300" s="325"/>
      <c r="R300" s="324"/>
      <c r="S300" s="325"/>
      <c r="T300" s="324"/>
      <c r="U300" s="325"/>
      <c r="V300" s="324"/>
      <c r="W300" s="325"/>
      <c r="X300" s="324"/>
      <c r="Y300" s="299">
        <v>0</v>
      </c>
      <c r="Z300" s="299">
        <v>0</v>
      </c>
      <c r="AA300" s="294"/>
    </row>
    <row r="301" spans="1:27" s="276" customFormat="1" ht="21.75" customHeight="1" x14ac:dyDescent="0.2">
      <c r="A301" s="293" t="s">
        <v>234</v>
      </c>
      <c r="B301" s="300"/>
      <c r="C301" s="300"/>
      <c r="D301" s="301"/>
      <c r="E301" s="301"/>
      <c r="F301" s="383" t="s">
        <v>257</v>
      </c>
      <c r="G301" s="365"/>
      <c r="H301" s="318"/>
      <c r="I301" s="318"/>
      <c r="J301" s="319"/>
      <c r="K301" s="318"/>
      <c r="L301" s="320">
        <v>1</v>
      </c>
      <c r="M301" s="320"/>
      <c r="N301" s="320"/>
      <c r="O301" s="321"/>
      <c r="P301" s="320"/>
      <c r="Q301" s="321"/>
      <c r="R301" s="320"/>
      <c r="S301" s="321"/>
      <c r="T301" s="320"/>
      <c r="U301" s="321"/>
      <c r="V301" s="320"/>
      <c r="W301" s="321"/>
      <c r="X301" s="320"/>
      <c r="Y301" s="302"/>
      <c r="Z301" s="302"/>
      <c r="AA301" s="293"/>
    </row>
    <row r="302" spans="1:27" s="276" customFormat="1" ht="21.75" customHeight="1" x14ac:dyDescent="0.2">
      <c r="A302" s="294" t="s">
        <v>236</v>
      </c>
      <c r="B302" s="289"/>
      <c r="C302" s="289"/>
      <c r="D302" s="290"/>
      <c r="E302" s="290"/>
      <c r="F302" s="382" t="s">
        <v>257</v>
      </c>
      <c r="G302" s="381"/>
      <c r="H302" s="322"/>
      <c r="I302" s="322"/>
      <c r="J302" s="323"/>
      <c r="K302" s="322"/>
      <c r="L302" s="324">
        <v>1</v>
      </c>
      <c r="M302" s="324"/>
      <c r="N302" s="324"/>
      <c r="O302" s="325"/>
      <c r="P302" s="324"/>
      <c r="Q302" s="325"/>
      <c r="R302" s="324"/>
      <c r="S302" s="325"/>
      <c r="T302" s="324"/>
      <c r="U302" s="325"/>
      <c r="V302" s="324"/>
      <c r="W302" s="325"/>
      <c r="X302" s="324"/>
      <c r="Y302" s="303"/>
      <c r="Z302" s="303"/>
      <c r="AA302" s="294"/>
    </row>
    <row r="303" spans="1:27" s="276" customFormat="1" ht="21.75" customHeight="1" x14ac:dyDescent="0.2">
      <c r="A303" s="293" t="s">
        <v>237</v>
      </c>
      <c r="B303" s="300"/>
      <c r="C303" s="300"/>
      <c r="D303" s="301"/>
      <c r="E303" s="301"/>
      <c r="F303" s="383" t="s">
        <v>257</v>
      </c>
      <c r="G303" s="365"/>
      <c r="H303" s="318"/>
      <c r="I303" s="318"/>
      <c r="J303" s="319"/>
      <c r="K303" s="318"/>
      <c r="L303" s="320">
        <v>1</v>
      </c>
      <c r="M303" s="320"/>
      <c r="N303" s="320"/>
      <c r="O303" s="321"/>
      <c r="P303" s="320"/>
      <c r="Q303" s="321"/>
      <c r="R303" s="320"/>
      <c r="S303" s="321"/>
      <c r="T303" s="320"/>
      <c r="U303" s="321"/>
      <c r="V303" s="320"/>
      <c r="W303" s="321"/>
      <c r="X303" s="320"/>
      <c r="Y303" s="302"/>
      <c r="Z303" s="302"/>
      <c r="AA303" s="293"/>
    </row>
    <row r="304" spans="1:27" s="276" customFormat="1" ht="21.75" customHeight="1" x14ac:dyDescent="0.2">
      <c r="A304" s="281" t="s">
        <v>3</v>
      </c>
      <c r="B304" s="281"/>
      <c r="C304" s="281"/>
      <c r="D304" s="281"/>
      <c r="E304" s="281"/>
      <c r="F304" s="281"/>
      <c r="G304" s="281"/>
      <c r="H304" s="326">
        <f>SUM(H280:H303)</f>
        <v>0</v>
      </c>
      <c r="I304" s="326">
        <f t="shared" ref="I304:X304" si="11">SUM(I280:I303)</f>
        <v>0</v>
      </c>
      <c r="J304" s="326">
        <f t="shared" si="11"/>
        <v>0</v>
      </c>
      <c r="K304" s="326">
        <f t="shared" si="11"/>
        <v>0</v>
      </c>
      <c r="L304" s="326">
        <f t="shared" si="11"/>
        <v>11</v>
      </c>
      <c r="M304" s="326">
        <f t="shared" si="11"/>
        <v>0</v>
      </c>
      <c r="N304" s="326">
        <f t="shared" si="11"/>
        <v>0</v>
      </c>
      <c r="O304" s="326">
        <f t="shared" si="11"/>
        <v>0</v>
      </c>
      <c r="P304" s="326">
        <f t="shared" si="11"/>
        <v>0</v>
      </c>
      <c r="Q304" s="326">
        <f t="shared" si="11"/>
        <v>0</v>
      </c>
      <c r="R304" s="326">
        <f t="shared" si="11"/>
        <v>0</v>
      </c>
      <c r="S304" s="326">
        <f t="shared" si="11"/>
        <v>1.5</v>
      </c>
      <c r="T304" s="326">
        <f t="shared" si="11"/>
        <v>0</v>
      </c>
      <c r="U304" s="326">
        <f t="shared" si="11"/>
        <v>0</v>
      </c>
      <c r="V304" s="326">
        <f t="shared" si="11"/>
        <v>0</v>
      </c>
      <c r="W304" s="326">
        <f t="shared" si="11"/>
        <v>0</v>
      </c>
      <c r="X304" s="326">
        <f t="shared" si="11"/>
        <v>0</v>
      </c>
      <c r="Y304" s="296"/>
      <c r="Z304" s="296"/>
      <c r="AA304" s="281"/>
    </row>
    <row r="305" spans="6:26" s="276" customFormat="1" ht="21.75" customHeight="1" x14ac:dyDescent="0.2">
      <c r="H305" s="327"/>
      <c r="I305" s="327"/>
      <c r="J305" s="327"/>
      <c r="K305" s="327"/>
      <c r="L305" s="328"/>
      <c r="M305" s="328"/>
      <c r="N305" s="328"/>
      <c r="O305" s="328"/>
      <c r="P305" s="328"/>
      <c r="Q305" s="328"/>
      <c r="R305" s="328"/>
      <c r="S305" s="328"/>
      <c r="T305" s="328"/>
      <c r="U305" s="328"/>
      <c r="V305" s="328"/>
      <c r="W305" s="328"/>
      <c r="X305" s="328"/>
      <c r="Y305" s="304"/>
      <c r="Z305" s="304"/>
    </row>
    <row r="306" spans="6:26" s="276" customFormat="1" ht="21.75" customHeight="1" x14ac:dyDescent="0.2">
      <c r="F306" s="291"/>
      <c r="G306" s="291"/>
      <c r="H306" s="327"/>
      <c r="I306" s="327"/>
      <c r="J306" s="327"/>
      <c r="K306" s="327"/>
      <c r="L306" s="328"/>
      <c r="M306" s="328"/>
      <c r="N306" s="328"/>
      <c r="O306" s="328"/>
      <c r="P306" s="328"/>
      <c r="Q306" s="328"/>
      <c r="R306" s="328"/>
      <c r="S306" s="328"/>
      <c r="T306" s="328"/>
      <c r="U306" s="328"/>
      <c r="V306" s="328"/>
      <c r="W306" s="328"/>
      <c r="X306" s="328"/>
      <c r="Y306" s="305" t="s">
        <v>200</v>
      </c>
      <c r="Z306" s="305"/>
    </row>
  </sheetData>
  <mergeCells count="241">
    <mergeCell ref="F301:G301"/>
    <mergeCell ref="F302:G302"/>
    <mergeCell ref="F303:G303"/>
    <mergeCell ref="F289:G289"/>
    <mergeCell ref="F290:G290"/>
    <mergeCell ref="F297:G297"/>
    <mergeCell ref="F298:G298"/>
    <mergeCell ref="F299:G299"/>
    <mergeCell ref="F300:G300"/>
    <mergeCell ref="V279:V280"/>
    <mergeCell ref="W279:W280"/>
    <mergeCell ref="X279:X280"/>
    <mergeCell ref="F284:G284"/>
    <mergeCell ref="F285:G285"/>
    <mergeCell ref="F288:G288"/>
    <mergeCell ref="L279:L280"/>
    <mergeCell ref="M279:M280"/>
    <mergeCell ref="N279:N280"/>
    <mergeCell ref="O279:Q279"/>
    <mergeCell ref="R279:R280"/>
    <mergeCell ref="S279:U279"/>
    <mergeCell ref="F272:G272"/>
    <mergeCell ref="F273:G273"/>
    <mergeCell ref="F274:G274"/>
    <mergeCell ref="F275:G275"/>
    <mergeCell ref="F276:G276"/>
    <mergeCell ref="H279:K279"/>
    <mergeCell ref="F258:G258"/>
    <mergeCell ref="F259:G259"/>
    <mergeCell ref="F262:G262"/>
    <mergeCell ref="F263:G263"/>
    <mergeCell ref="F268:G268"/>
    <mergeCell ref="F269:G269"/>
    <mergeCell ref="O252:Q252"/>
    <mergeCell ref="R252:R253"/>
    <mergeCell ref="S252:U252"/>
    <mergeCell ref="V252:V253"/>
    <mergeCell ref="W252:W253"/>
    <mergeCell ref="X252:X253"/>
    <mergeCell ref="F248:G248"/>
    <mergeCell ref="F249:G249"/>
    <mergeCell ref="H252:K252"/>
    <mergeCell ref="L252:L253"/>
    <mergeCell ref="M252:M253"/>
    <mergeCell ref="N252:N253"/>
    <mergeCell ref="F241:G241"/>
    <mergeCell ref="F243:G243"/>
    <mergeCell ref="F244:G244"/>
    <mergeCell ref="F245:G245"/>
    <mergeCell ref="F246:G246"/>
    <mergeCell ref="F247:G247"/>
    <mergeCell ref="V231:V232"/>
    <mergeCell ref="W231:W232"/>
    <mergeCell ref="X231:X232"/>
    <mergeCell ref="F237:G237"/>
    <mergeCell ref="F239:G239"/>
    <mergeCell ref="F240:G240"/>
    <mergeCell ref="L231:L232"/>
    <mergeCell ref="M231:M232"/>
    <mergeCell ref="N231:N232"/>
    <mergeCell ref="O231:Q231"/>
    <mergeCell ref="R231:R232"/>
    <mergeCell ref="S231:U231"/>
    <mergeCell ref="F224:G224"/>
    <mergeCell ref="F225:G225"/>
    <mergeCell ref="F226:G226"/>
    <mergeCell ref="F227:G227"/>
    <mergeCell ref="F228:G228"/>
    <mergeCell ref="H231:K231"/>
    <mergeCell ref="W203:W204"/>
    <mergeCell ref="X203:X204"/>
    <mergeCell ref="F210:G210"/>
    <mergeCell ref="F213:G213"/>
    <mergeCell ref="F214:G214"/>
    <mergeCell ref="F221:G221"/>
    <mergeCell ref="M203:M204"/>
    <mergeCell ref="N203:N204"/>
    <mergeCell ref="O203:Q203"/>
    <mergeCell ref="R203:R204"/>
    <mergeCell ref="S203:U203"/>
    <mergeCell ref="V203:V204"/>
    <mergeCell ref="F197:G197"/>
    <mergeCell ref="F198:G198"/>
    <mergeCell ref="F199:G199"/>
    <mergeCell ref="F200:G200"/>
    <mergeCell ref="H203:K203"/>
    <mergeCell ref="L203:L204"/>
    <mergeCell ref="X175:X176"/>
    <mergeCell ref="F182:G182"/>
    <mergeCell ref="F185:G185"/>
    <mergeCell ref="F186:G186"/>
    <mergeCell ref="F193:G193"/>
    <mergeCell ref="F196:G196"/>
    <mergeCell ref="N175:N176"/>
    <mergeCell ref="O175:Q175"/>
    <mergeCell ref="R175:R176"/>
    <mergeCell ref="S175:U175"/>
    <mergeCell ref="V175:V176"/>
    <mergeCell ref="W175:W176"/>
    <mergeCell ref="F170:G170"/>
    <mergeCell ref="F171:G171"/>
    <mergeCell ref="F172:G172"/>
    <mergeCell ref="H175:K175"/>
    <mergeCell ref="L175:L176"/>
    <mergeCell ref="M175:M176"/>
    <mergeCell ref="F160:G160"/>
    <mergeCell ref="F161:G161"/>
    <mergeCell ref="F164:G164"/>
    <mergeCell ref="F165:G165"/>
    <mergeCell ref="F166:G166"/>
    <mergeCell ref="F169:G169"/>
    <mergeCell ref="R148:R149"/>
    <mergeCell ref="S148:U148"/>
    <mergeCell ref="V148:V149"/>
    <mergeCell ref="W148:W149"/>
    <mergeCell ref="X148:X149"/>
    <mergeCell ref="F157:G157"/>
    <mergeCell ref="F145:G145"/>
    <mergeCell ref="H148:K148"/>
    <mergeCell ref="L148:L149"/>
    <mergeCell ref="M148:M149"/>
    <mergeCell ref="N148:N149"/>
    <mergeCell ref="O148:Q148"/>
    <mergeCell ref="F133:G133"/>
    <mergeCell ref="F138:G138"/>
    <mergeCell ref="F139:G139"/>
    <mergeCell ref="F142:G142"/>
    <mergeCell ref="F143:G143"/>
    <mergeCell ref="F144:G144"/>
    <mergeCell ref="S121:U121"/>
    <mergeCell ref="V121:V122"/>
    <mergeCell ref="W121:W122"/>
    <mergeCell ref="X121:X122"/>
    <mergeCell ref="F129:G129"/>
    <mergeCell ref="F132:G132"/>
    <mergeCell ref="H121:K121"/>
    <mergeCell ref="L121:L122"/>
    <mergeCell ref="M121:M122"/>
    <mergeCell ref="N121:N122"/>
    <mergeCell ref="O121:Q121"/>
    <mergeCell ref="R121:R122"/>
    <mergeCell ref="F112:G112"/>
    <mergeCell ref="F113:G113"/>
    <mergeCell ref="F115:G115"/>
    <mergeCell ref="F116:G116"/>
    <mergeCell ref="F117:G117"/>
    <mergeCell ref="F118:G118"/>
    <mergeCell ref="W100:W101"/>
    <mergeCell ref="X100:X101"/>
    <mergeCell ref="F105:G105"/>
    <mergeCell ref="F106:G106"/>
    <mergeCell ref="F108:G108"/>
    <mergeCell ref="F109:G109"/>
    <mergeCell ref="M100:M101"/>
    <mergeCell ref="N100:N101"/>
    <mergeCell ref="O100:Q100"/>
    <mergeCell ref="R100:R101"/>
    <mergeCell ref="S100:U100"/>
    <mergeCell ref="V100:V101"/>
    <mergeCell ref="F91:G91"/>
    <mergeCell ref="F95:G95"/>
    <mergeCell ref="F96:G96"/>
    <mergeCell ref="F97:G97"/>
    <mergeCell ref="H100:K100"/>
    <mergeCell ref="L100:L101"/>
    <mergeCell ref="W73:W74"/>
    <mergeCell ref="X73:X74"/>
    <mergeCell ref="F79:G79"/>
    <mergeCell ref="F80:G80"/>
    <mergeCell ref="F83:G83"/>
    <mergeCell ref="F84:G84"/>
    <mergeCell ref="M73:M74"/>
    <mergeCell ref="N73:N74"/>
    <mergeCell ref="O73:Q73"/>
    <mergeCell ref="R73:R74"/>
    <mergeCell ref="S73:U73"/>
    <mergeCell ref="V73:V74"/>
    <mergeCell ref="F67:G67"/>
    <mergeCell ref="F68:G68"/>
    <mergeCell ref="F69:G69"/>
    <mergeCell ref="F70:G70"/>
    <mergeCell ref="H73:K73"/>
    <mergeCell ref="L73:L74"/>
    <mergeCell ref="F56:G56"/>
    <mergeCell ref="F57:G57"/>
    <mergeCell ref="F60:G60"/>
    <mergeCell ref="F61:G61"/>
    <mergeCell ref="F64:G64"/>
    <mergeCell ref="F65:G65"/>
    <mergeCell ref="O53:Q53"/>
    <mergeCell ref="R53:R54"/>
    <mergeCell ref="S53:U53"/>
    <mergeCell ref="V53:V54"/>
    <mergeCell ref="W53:W54"/>
    <mergeCell ref="X53:X54"/>
    <mergeCell ref="F49:G49"/>
    <mergeCell ref="F50:G50"/>
    <mergeCell ref="H53:K53"/>
    <mergeCell ref="L53:L54"/>
    <mergeCell ref="M53:M54"/>
    <mergeCell ref="N53:N54"/>
    <mergeCell ref="F37:G37"/>
    <mergeCell ref="F38:G38"/>
    <mergeCell ref="F43:G43"/>
    <mergeCell ref="F44:G44"/>
    <mergeCell ref="F47:G47"/>
    <mergeCell ref="F48:G48"/>
    <mergeCell ref="S27:U27"/>
    <mergeCell ref="V27:V28"/>
    <mergeCell ref="W27:W28"/>
    <mergeCell ref="X27:X28"/>
    <mergeCell ref="F33:G33"/>
    <mergeCell ref="F34:G34"/>
    <mergeCell ref="H27:K27"/>
    <mergeCell ref="L27:L28"/>
    <mergeCell ref="M27:M28"/>
    <mergeCell ref="N27:N28"/>
    <mergeCell ref="O27:Q27"/>
    <mergeCell ref="R27:R28"/>
    <mergeCell ref="F14:G14"/>
    <mergeCell ref="F15:G15"/>
    <mergeCell ref="F19:G19"/>
    <mergeCell ref="F22:G22"/>
    <mergeCell ref="F23:G23"/>
    <mergeCell ref="F24:G24"/>
    <mergeCell ref="S5:U5"/>
    <mergeCell ref="V5:V6"/>
    <mergeCell ref="W5:W6"/>
    <mergeCell ref="X5:X6"/>
    <mergeCell ref="F11:G11"/>
    <mergeCell ref="F12:G12"/>
    <mergeCell ref="A1:AA1"/>
    <mergeCell ref="A2:AA2"/>
    <mergeCell ref="A3:AA3"/>
    <mergeCell ref="H4:X4"/>
    <mergeCell ref="H5:K5"/>
    <mergeCell ref="L5:L6"/>
    <mergeCell ref="M5:M6"/>
    <mergeCell ref="N5:N6"/>
    <mergeCell ref="O5:Q5"/>
    <mergeCell ref="R5:R6"/>
  </mergeCells>
  <pageMargins left="0.75" right="0.75" top="1" bottom="1" header="0.5" footer="0.5"/>
  <pageSetup paperSize="9" orientation="portrait" horizontalDpi="4294967293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71"/>
  <sheetViews>
    <sheetView workbookViewId="0">
      <pane xSplit="7" ySplit="6" topLeftCell="H7" activePane="bottomRight" state="frozen"/>
      <selection activeCell="C13" sqref="C13"/>
      <selection pane="topRight" activeCell="C13" sqref="C13"/>
      <selection pane="bottomLeft" activeCell="C13" sqref="C13"/>
      <selection pane="bottomRight" activeCell="C13" sqref="C13"/>
    </sheetView>
  </sheetViews>
  <sheetFormatPr defaultColWidth="9.140625" defaultRowHeight="15" customHeight="1" x14ac:dyDescent="0.25"/>
  <cols>
    <col min="1" max="1" width="25" style="292" customWidth="1"/>
    <col min="2" max="7" width="8.7109375" style="292" customWidth="1"/>
    <col min="8" max="8" width="7.140625" style="327" bestFit="1" customWidth="1"/>
    <col min="9" max="9" width="5.7109375" style="327" customWidth="1"/>
    <col min="10" max="10" width="7.140625" style="327" bestFit="1" customWidth="1"/>
    <col min="11" max="11" width="7.5703125" style="327" bestFit="1" customWidth="1"/>
    <col min="12" max="12" width="5.42578125" style="331" bestFit="1" customWidth="1"/>
    <col min="13" max="13" width="4.7109375" style="331" bestFit="1" customWidth="1"/>
    <col min="14" max="15" width="4.42578125" style="331" bestFit="1" customWidth="1"/>
    <col min="16" max="16" width="5.7109375" style="331" hidden="1" customWidth="1"/>
    <col min="17" max="17" width="7.28515625" style="331" bestFit="1" customWidth="1"/>
    <col min="18" max="19" width="4.42578125" style="331" bestFit="1" customWidth="1"/>
    <col min="20" max="20" width="5.7109375" style="331" hidden="1" customWidth="1"/>
    <col min="21" max="21" width="7.28515625" style="331" hidden="1" customWidth="1"/>
    <col min="22" max="22" width="5.7109375" style="331" hidden="1" customWidth="1"/>
    <col min="23" max="23" width="7.28515625" style="331" hidden="1" customWidth="1"/>
    <col min="24" max="24" width="6.7109375" style="331" bestFit="1" customWidth="1"/>
    <col min="25" max="26" width="11.42578125" style="306" hidden="1" customWidth="1"/>
    <col min="27" max="27" width="11.5703125" style="306" bestFit="1" customWidth="1"/>
    <col min="28" max="16384" width="9.140625" style="292"/>
  </cols>
  <sheetData>
    <row r="1" spans="1:27" s="276" customFormat="1" ht="26.25" x14ac:dyDescent="0.2">
      <c r="A1" s="367" t="s">
        <v>258</v>
      </c>
      <c r="B1" s="367"/>
      <c r="C1" s="367"/>
      <c r="D1" s="367"/>
      <c r="E1" s="367"/>
      <c r="F1" s="367"/>
      <c r="G1" s="367"/>
      <c r="H1" s="367"/>
      <c r="I1" s="367"/>
      <c r="J1" s="367"/>
      <c r="K1" s="367"/>
      <c r="L1" s="367"/>
      <c r="M1" s="367"/>
      <c r="N1" s="367"/>
      <c r="O1" s="367"/>
      <c r="P1" s="367"/>
      <c r="Q1" s="367"/>
      <c r="R1" s="367"/>
      <c r="S1" s="367"/>
      <c r="T1" s="367"/>
      <c r="U1" s="367"/>
      <c r="V1" s="367"/>
      <c r="W1" s="367"/>
      <c r="X1" s="367"/>
      <c r="Y1" s="367"/>
      <c r="Z1" s="367"/>
      <c r="AA1" s="367"/>
    </row>
    <row r="2" spans="1:27" s="276" customFormat="1" ht="26.25" x14ac:dyDescent="0.2">
      <c r="A2" s="367" t="s">
        <v>214</v>
      </c>
      <c r="B2" s="367"/>
      <c r="C2" s="367"/>
      <c r="D2" s="367"/>
      <c r="E2" s="367"/>
      <c r="F2" s="367"/>
      <c r="G2" s="367"/>
      <c r="H2" s="367"/>
      <c r="I2" s="367"/>
      <c r="J2" s="367"/>
      <c r="K2" s="367"/>
      <c r="L2" s="367"/>
      <c r="M2" s="367"/>
      <c r="N2" s="367"/>
      <c r="O2" s="367"/>
      <c r="P2" s="367"/>
      <c r="Q2" s="367"/>
      <c r="R2" s="367"/>
      <c r="S2" s="367"/>
      <c r="T2" s="367"/>
      <c r="U2" s="367"/>
      <c r="V2" s="367"/>
      <c r="W2" s="367"/>
      <c r="X2" s="367"/>
      <c r="Y2" s="367"/>
      <c r="Z2" s="367"/>
      <c r="AA2" s="367"/>
    </row>
    <row r="3" spans="1:27" s="276" customFormat="1" ht="26.25" x14ac:dyDescent="0.2">
      <c r="A3" s="367" t="s">
        <v>215</v>
      </c>
      <c r="B3" s="367"/>
      <c r="C3" s="367"/>
      <c r="D3" s="367"/>
      <c r="E3" s="367"/>
      <c r="F3" s="367"/>
      <c r="G3" s="367"/>
      <c r="H3" s="367"/>
      <c r="I3" s="367"/>
      <c r="J3" s="367"/>
      <c r="K3" s="367"/>
      <c r="L3" s="367"/>
      <c r="M3" s="367"/>
      <c r="N3" s="367"/>
      <c r="O3" s="367"/>
      <c r="P3" s="367"/>
      <c r="Q3" s="367"/>
      <c r="R3" s="367"/>
      <c r="S3" s="367"/>
      <c r="T3" s="367"/>
      <c r="U3" s="367"/>
      <c r="V3" s="367"/>
      <c r="W3" s="367"/>
      <c r="X3" s="367"/>
      <c r="Y3" s="367"/>
      <c r="Z3" s="367"/>
      <c r="AA3" s="367"/>
    </row>
    <row r="4" spans="1:27" s="278" customFormat="1" ht="27" customHeight="1" thickBot="1" x14ac:dyDescent="0.25">
      <c r="A4" s="277"/>
      <c r="B4" s="279"/>
      <c r="C4" s="279"/>
      <c r="D4" s="279"/>
      <c r="E4" s="279"/>
      <c r="F4" s="279"/>
      <c r="G4" s="279"/>
      <c r="H4" s="368" t="s">
        <v>153</v>
      </c>
      <c r="I4" s="368"/>
      <c r="J4" s="368"/>
      <c r="K4" s="368"/>
      <c r="L4" s="368"/>
      <c r="M4" s="368"/>
      <c r="N4" s="368"/>
      <c r="O4" s="368"/>
      <c r="P4" s="368"/>
      <c r="Q4" s="368"/>
      <c r="R4" s="368"/>
      <c r="S4" s="368"/>
      <c r="T4" s="368"/>
      <c r="U4" s="368"/>
      <c r="V4" s="368"/>
      <c r="W4" s="368"/>
      <c r="X4" s="368"/>
      <c r="Y4" s="295"/>
      <c r="Z4" s="295"/>
      <c r="AA4" s="295"/>
    </row>
    <row r="5" spans="1:27" s="278" customFormat="1" ht="27" customHeight="1" thickBot="1" x14ac:dyDescent="0.25">
      <c r="A5" s="280" t="s">
        <v>154</v>
      </c>
      <c r="B5" s="281" t="s">
        <v>155</v>
      </c>
      <c r="C5" s="281"/>
      <c r="D5" s="281" t="s">
        <v>156</v>
      </c>
      <c r="E5" s="281"/>
      <c r="F5" s="281" t="s">
        <v>156</v>
      </c>
      <c r="G5" s="281"/>
      <c r="H5" s="369" t="s">
        <v>91</v>
      </c>
      <c r="I5" s="370"/>
      <c r="J5" s="370"/>
      <c r="K5" s="371"/>
      <c r="L5" s="372" t="s">
        <v>90</v>
      </c>
      <c r="M5" s="374" t="s">
        <v>157</v>
      </c>
      <c r="N5" s="374" t="s">
        <v>158</v>
      </c>
      <c r="O5" s="376" t="s">
        <v>159</v>
      </c>
      <c r="P5" s="377"/>
      <c r="Q5" s="378"/>
      <c r="R5" s="374" t="s">
        <v>160</v>
      </c>
      <c r="S5" s="376" t="s">
        <v>19</v>
      </c>
      <c r="T5" s="377"/>
      <c r="U5" s="378"/>
      <c r="V5" s="374" t="s">
        <v>124</v>
      </c>
      <c r="W5" s="374" t="s">
        <v>125</v>
      </c>
      <c r="X5" s="363" t="s">
        <v>105</v>
      </c>
      <c r="Y5" s="296" t="s">
        <v>161</v>
      </c>
      <c r="Z5" s="296"/>
      <c r="AA5" s="296" t="s">
        <v>162</v>
      </c>
    </row>
    <row r="6" spans="1:27" s="278" customFormat="1" ht="27" customHeight="1" thickBot="1" x14ac:dyDescent="0.25">
      <c r="A6" s="280"/>
      <c r="B6" s="281" t="s">
        <v>163</v>
      </c>
      <c r="C6" s="281" t="s">
        <v>164</v>
      </c>
      <c r="D6" s="281" t="s">
        <v>163</v>
      </c>
      <c r="E6" s="281" t="s">
        <v>164</v>
      </c>
      <c r="F6" s="281" t="s">
        <v>163</v>
      </c>
      <c r="G6" s="281" t="s">
        <v>164</v>
      </c>
      <c r="H6" s="282" t="s">
        <v>165</v>
      </c>
      <c r="I6" s="282" t="s">
        <v>93</v>
      </c>
      <c r="J6" s="282" t="s">
        <v>94</v>
      </c>
      <c r="K6" s="283" t="s">
        <v>166</v>
      </c>
      <c r="L6" s="373"/>
      <c r="M6" s="375"/>
      <c r="N6" s="375"/>
      <c r="O6" s="284" t="s">
        <v>167</v>
      </c>
      <c r="P6" s="284" t="s">
        <v>168</v>
      </c>
      <c r="Q6" s="315" t="s">
        <v>125</v>
      </c>
      <c r="R6" s="375"/>
      <c r="S6" s="284" t="s">
        <v>167</v>
      </c>
      <c r="T6" s="284" t="s">
        <v>168</v>
      </c>
      <c r="U6" s="315" t="s">
        <v>125</v>
      </c>
      <c r="V6" s="375"/>
      <c r="W6" s="375"/>
      <c r="X6" s="364"/>
      <c r="Y6" s="296" t="s">
        <v>163</v>
      </c>
      <c r="Z6" s="296" t="s">
        <v>164</v>
      </c>
      <c r="AA6" s="296"/>
    </row>
    <row r="7" spans="1:27" s="276" customFormat="1" ht="27" customHeight="1" x14ac:dyDescent="0.2">
      <c r="A7" s="297" t="s">
        <v>169</v>
      </c>
      <c r="B7" s="285" t="s">
        <v>205</v>
      </c>
      <c r="C7" s="285"/>
      <c r="D7" s="285"/>
      <c r="E7" s="285"/>
      <c r="F7" s="285"/>
      <c r="G7" s="285"/>
      <c r="H7" s="317"/>
      <c r="I7" s="317"/>
      <c r="J7" s="317"/>
      <c r="K7" s="317"/>
      <c r="L7" s="317"/>
      <c r="M7" s="317"/>
      <c r="N7" s="317"/>
      <c r="O7" s="317"/>
      <c r="P7" s="317"/>
      <c r="Q7" s="317"/>
      <c r="R7" s="317"/>
      <c r="S7" s="317"/>
      <c r="T7" s="317"/>
      <c r="U7" s="317"/>
      <c r="V7" s="317"/>
      <c r="W7" s="317"/>
      <c r="X7" s="317"/>
      <c r="Y7" s="296" t="s">
        <v>161</v>
      </c>
      <c r="Z7" s="296"/>
      <c r="AA7" s="296" t="s">
        <v>162</v>
      </c>
    </row>
    <row r="8" spans="1:27" s="276" customFormat="1" ht="27" customHeight="1" x14ac:dyDescent="0.2">
      <c r="A8" s="297" t="s">
        <v>171</v>
      </c>
      <c r="B8" s="285" t="s">
        <v>206</v>
      </c>
      <c r="C8" s="285"/>
      <c r="D8" s="285"/>
      <c r="E8" s="285"/>
      <c r="F8" s="285"/>
      <c r="G8" s="285"/>
      <c r="H8" s="317"/>
      <c r="I8" s="317"/>
      <c r="J8" s="317"/>
      <c r="K8" s="317"/>
      <c r="L8" s="317"/>
      <c r="M8" s="317"/>
      <c r="N8" s="317"/>
      <c r="O8" s="317"/>
      <c r="P8" s="317"/>
      <c r="Q8" s="317"/>
      <c r="R8" s="317"/>
      <c r="S8" s="317"/>
      <c r="T8" s="317"/>
      <c r="U8" s="317"/>
      <c r="V8" s="317"/>
      <c r="W8" s="317"/>
      <c r="X8" s="317"/>
      <c r="Y8" s="296" t="s">
        <v>163</v>
      </c>
      <c r="Z8" s="296" t="s">
        <v>164</v>
      </c>
      <c r="AA8" s="296"/>
    </row>
    <row r="9" spans="1:27" s="276" customFormat="1" ht="27" customHeight="1" x14ac:dyDescent="0.2">
      <c r="A9" s="293" t="s">
        <v>216</v>
      </c>
      <c r="B9" s="287">
        <v>0.21597222222222223</v>
      </c>
      <c r="C9" s="287">
        <v>0.6069444444444444</v>
      </c>
      <c r="D9" s="287">
        <v>0.21597222222222223</v>
      </c>
      <c r="E9" s="287">
        <v>0.6069444444444444</v>
      </c>
      <c r="F9" s="288">
        <v>0.22916666666666666</v>
      </c>
      <c r="G9" s="288">
        <v>0.60416666666666663</v>
      </c>
      <c r="H9" s="318"/>
      <c r="I9" s="318"/>
      <c r="J9" s="319"/>
      <c r="K9" s="318"/>
      <c r="L9" s="320">
        <v>1</v>
      </c>
      <c r="M9" s="320"/>
      <c r="N9" s="320"/>
      <c r="O9" s="321"/>
      <c r="P9" s="320"/>
      <c r="Q9" s="321"/>
      <c r="R9" s="320"/>
      <c r="S9" s="321"/>
      <c r="T9" s="320"/>
      <c r="U9" s="321"/>
      <c r="V9" s="320"/>
      <c r="W9" s="321"/>
      <c r="X9" s="320"/>
      <c r="Y9" s="298">
        <v>0.33333333333333331</v>
      </c>
      <c r="Z9" s="298">
        <v>0.70833333333333337</v>
      </c>
      <c r="AA9" s="309"/>
    </row>
    <row r="10" spans="1:27" s="276" customFormat="1" ht="27" customHeight="1" x14ac:dyDescent="0.2">
      <c r="A10" s="294" t="s">
        <v>218</v>
      </c>
      <c r="B10" s="286">
        <v>0.28680555555555554</v>
      </c>
      <c r="C10" s="286">
        <v>0.5854166666666667</v>
      </c>
      <c r="D10" s="286">
        <v>0.28680555555555554</v>
      </c>
      <c r="E10" s="286">
        <v>0.5854166666666667</v>
      </c>
      <c r="F10" s="307">
        <v>0.22916666666666666</v>
      </c>
      <c r="G10" s="307">
        <v>0.5854166666666667</v>
      </c>
      <c r="H10" s="322"/>
      <c r="I10" s="322"/>
      <c r="J10" s="323"/>
      <c r="K10" s="322"/>
      <c r="L10" s="324"/>
      <c r="M10" s="324"/>
      <c r="N10" s="324"/>
      <c r="O10" s="325"/>
      <c r="P10" s="324"/>
      <c r="Q10" s="325"/>
      <c r="R10" s="324"/>
      <c r="S10" s="325"/>
      <c r="T10" s="324"/>
      <c r="U10" s="325"/>
      <c r="V10" s="324"/>
      <c r="W10" s="325"/>
      <c r="X10" s="324"/>
      <c r="Y10" s="299">
        <v>0.33333333333333331</v>
      </c>
      <c r="Z10" s="299">
        <v>0.70833333333333337</v>
      </c>
      <c r="AA10" s="310" t="s">
        <v>259</v>
      </c>
    </row>
    <row r="11" spans="1:27" s="276" customFormat="1" ht="27" customHeight="1" x14ac:dyDescent="0.2">
      <c r="A11" s="293" t="s">
        <v>218</v>
      </c>
      <c r="B11" s="287">
        <v>0.62083333333333335</v>
      </c>
      <c r="C11" s="287">
        <v>0.62083333333333335</v>
      </c>
      <c r="D11" s="287">
        <v>0.62083333333333335</v>
      </c>
      <c r="E11" s="287">
        <v>0.62083333333333335</v>
      </c>
      <c r="F11" s="288">
        <v>0.62708333333333333</v>
      </c>
      <c r="G11" s="288">
        <v>8.3333333333333329E-2</v>
      </c>
      <c r="H11" s="318"/>
      <c r="I11" s="318"/>
      <c r="J11" s="319"/>
      <c r="K11" s="318"/>
      <c r="L11" s="320">
        <v>1</v>
      </c>
      <c r="M11" s="320">
        <f>(60+23)/60</f>
        <v>1.3833333333333333</v>
      </c>
      <c r="N11" s="320"/>
      <c r="O11" s="321"/>
      <c r="P11" s="320"/>
      <c r="Q11" s="321"/>
      <c r="R11" s="320"/>
      <c r="S11" s="321"/>
      <c r="T11" s="320"/>
      <c r="U11" s="321"/>
      <c r="V11" s="320"/>
      <c r="W11" s="321"/>
      <c r="X11" s="320"/>
      <c r="Y11" s="298">
        <v>0.33333333333333331</v>
      </c>
      <c r="Z11" s="298">
        <v>0.70833333333333337</v>
      </c>
      <c r="AA11" s="309"/>
    </row>
    <row r="12" spans="1:27" s="276" customFormat="1" ht="27" customHeight="1" x14ac:dyDescent="0.2">
      <c r="A12" s="294" t="s">
        <v>219</v>
      </c>
      <c r="B12" s="286">
        <v>0.50069444444444444</v>
      </c>
      <c r="C12" s="286">
        <v>0.65902777777777777</v>
      </c>
      <c r="D12" s="286">
        <v>0.50069444444444444</v>
      </c>
      <c r="E12" s="286">
        <v>0.65902777777777777</v>
      </c>
      <c r="F12" s="307">
        <v>0</v>
      </c>
      <c r="G12" s="307">
        <v>0.65902777777777777</v>
      </c>
      <c r="H12" s="322"/>
      <c r="I12" s="322"/>
      <c r="J12" s="323"/>
      <c r="K12" s="322"/>
      <c r="L12" s="324"/>
      <c r="M12" s="324"/>
      <c r="N12" s="324"/>
      <c r="O12" s="325"/>
      <c r="P12" s="324"/>
      <c r="Q12" s="325"/>
      <c r="R12" s="324"/>
      <c r="S12" s="325"/>
      <c r="T12" s="324"/>
      <c r="U12" s="325"/>
      <c r="V12" s="324"/>
      <c r="W12" s="325"/>
      <c r="X12" s="324"/>
      <c r="Y12" s="299">
        <v>0.33333333333333331</v>
      </c>
      <c r="Z12" s="299">
        <v>0.70833333333333337</v>
      </c>
      <c r="AA12" s="310" t="s">
        <v>260</v>
      </c>
    </row>
    <row r="13" spans="1:27" s="276" customFormat="1" ht="27" customHeight="1" x14ac:dyDescent="0.2">
      <c r="A13" s="293" t="s">
        <v>219</v>
      </c>
      <c r="B13" s="287">
        <v>0.71111111111111114</v>
      </c>
      <c r="C13" s="287">
        <v>0.87569444444444444</v>
      </c>
      <c r="D13" s="287">
        <v>0.71111111111111114</v>
      </c>
      <c r="E13" s="287">
        <v>0.87569444444444444</v>
      </c>
      <c r="F13" s="288">
        <v>0.7006944444444444</v>
      </c>
      <c r="G13" s="288">
        <v>0.875</v>
      </c>
      <c r="H13" s="318"/>
      <c r="I13" s="318"/>
      <c r="J13" s="319"/>
      <c r="K13" s="318"/>
      <c r="L13" s="320">
        <v>1</v>
      </c>
      <c r="M13" s="320">
        <f>15/60</f>
        <v>0.25</v>
      </c>
      <c r="N13" s="320"/>
      <c r="O13" s="321"/>
      <c r="P13" s="320"/>
      <c r="Q13" s="321"/>
      <c r="R13" s="320"/>
      <c r="S13" s="321"/>
      <c r="T13" s="320"/>
      <c r="U13" s="321"/>
      <c r="V13" s="320"/>
      <c r="W13" s="321"/>
      <c r="X13" s="320"/>
      <c r="Y13" s="298">
        <v>0.33333333333333331</v>
      </c>
      <c r="Z13" s="298">
        <v>0.70833333333333337</v>
      </c>
      <c r="AA13" s="309"/>
    </row>
    <row r="14" spans="1:27" s="276" customFormat="1" ht="27" customHeight="1" x14ac:dyDescent="0.2">
      <c r="A14" s="294" t="s">
        <v>220</v>
      </c>
      <c r="B14" s="289"/>
      <c r="C14" s="289"/>
      <c r="D14" s="290"/>
      <c r="E14" s="290"/>
      <c r="F14" s="366"/>
      <c r="G14" s="366"/>
      <c r="H14" s="322"/>
      <c r="I14" s="322"/>
      <c r="J14" s="323"/>
      <c r="K14" s="322"/>
      <c r="L14" s="324"/>
      <c r="M14" s="324"/>
      <c r="N14" s="324"/>
      <c r="O14" s="325"/>
      <c r="P14" s="324"/>
      <c r="Q14" s="325"/>
      <c r="R14" s="324"/>
      <c r="S14" s="325"/>
      <c r="T14" s="324"/>
      <c r="U14" s="325"/>
      <c r="V14" s="324"/>
      <c r="W14" s="325"/>
      <c r="X14" s="324"/>
      <c r="Y14" s="303"/>
      <c r="Z14" s="303"/>
      <c r="AA14" s="310"/>
    </row>
    <row r="15" spans="1:27" s="276" customFormat="1" ht="27" customHeight="1" x14ac:dyDescent="0.2">
      <c r="A15" s="293" t="s">
        <v>222</v>
      </c>
      <c r="B15" s="287">
        <v>0.20694444444444446</v>
      </c>
      <c r="C15" s="287">
        <v>0.6069444444444444</v>
      </c>
      <c r="D15" s="287">
        <v>0.20694444444444446</v>
      </c>
      <c r="E15" s="287">
        <v>0.6069444444444444</v>
      </c>
      <c r="F15" s="288">
        <v>0.22916666666666666</v>
      </c>
      <c r="G15" s="288">
        <v>0.60416666666666663</v>
      </c>
      <c r="H15" s="318"/>
      <c r="I15" s="318"/>
      <c r="J15" s="319"/>
      <c r="K15" s="318"/>
      <c r="L15" s="320">
        <v>1</v>
      </c>
      <c r="M15" s="320"/>
      <c r="N15" s="320"/>
      <c r="O15" s="321"/>
      <c r="P15" s="320"/>
      <c r="Q15" s="321"/>
      <c r="R15" s="320"/>
      <c r="S15" s="321"/>
      <c r="T15" s="320"/>
      <c r="U15" s="321"/>
      <c r="V15" s="320"/>
      <c r="W15" s="321"/>
      <c r="X15" s="320"/>
      <c r="Y15" s="298">
        <v>0.33333333333333331</v>
      </c>
      <c r="Z15" s="298">
        <v>0.70833333333333337</v>
      </c>
      <c r="AA15" s="309"/>
    </row>
    <row r="16" spans="1:27" s="276" customFormat="1" ht="27" customHeight="1" x14ac:dyDescent="0.2">
      <c r="A16" s="294" t="s">
        <v>223</v>
      </c>
      <c r="B16" s="289"/>
      <c r="C16" s="289"/>
      <c r="D16" s="290"/>
      <c r="E16" s="290"/>
      <c r="F16" s="366" t="s">
        <v>224</v>
      </c>
      <c r="G16" s="366"/>
      <c r="H16" s="322"/>
      <c r="I16" s="322"/>
      <c r="J16" s="323"/>
      <c r="K16" s="322"/>
      <c r="L16" s="324"/>
      <c r="M16" s="324"/>
      <c r="N16" s="324"/>
      <c r="O16" s="325"/>
      <c r="P16" s="324"/>
      <c r="Q16" s="325"/>
      <c r="R16" s="324"/>
      <c r="S16" s="325"/>
      <c r="T16" s="324"/>
      <c r="U16" s="325"/>
      <c r="V16" s="324"/>
      <c r="W16" s="325"/>
      <c r="X16" s="324"/>
      <c r="Y16" s="303"/>
      <c r="Z16" s="303"/>
      <c r="AA16" s="310"/>
    </row>
    <row r="17" spans="1:27" s="276" customFormat="1" ht="27" customHeight="1" x14ac:dyDescent="0.2">
      <c r="A17" s="293" t="s">
        <v>225</v>
      </c>
      <c r="B17" s="300"/>
      <c r="C17" s="300"/>
      <c r="D17" s="301"/>
      <c r="E17" s="301"/>
      <c r="F17" s="365" t="s">
        <v>224</v>
      </c>
      <c r="G17" s="365"/>
      <c r="H17" s="318"/>
      <c r="I17" s="318"/>
      <c r="J17" s="319"/>
      <c r="K17" s="318"/>
      <c r="L17" s="320"/>
      <c r="M17" s="320"/>
      <c r="N17" s="320"/>
      <c r="O17" s="321"/>
      <c r="P17" s="320"/>
      <c r="Q17" s="321"/>
      <c r="R17" s="320"/>
      <c r="S17" s="321"/>
      <c r="T17" s="320"/>
      <c r="U17" s="321"/>
      <c r="V17" s="320"/>
      <c r="W17" s="321"/>
      <c r="X17" s="320"/>
      <c r="Y17" s="302"/>
      <c r="Z17" s="302"/>
      <c r="AA17" s="309"/>
    </row>
    <row r="18" spans="1:27" s="276" customFormat="1" ht="27" customHeight="1" x14ac:dyDescent="0.2">
      <c r="A18" s="294" t="s">
        <v>226</v>
      </c>
      <c r="B18" s="286">
        <v>0.9604166666666667</v>
      </c>
      <c r="C18" s="286">
        <v>0.9604166666666667</v>
      </c>
      <c r="D18" s="286">
        <v>0.9604166666666667</v>
      </c>
      <c r="E18" s="286">
        <v>0.9604166666666667</v>
      </c>
      <c r="F18" s="307">
        <v>0.47916666666666669</v>
      </c>
      <c r="G18" s="307">
        <v>0.97916666666666663</v>
      </c>
      <c r="H18" s="322"/>
      <c r="I18" s="322"/>
      <c r="J18" s="323"/>
      <c r="K18" s="322"/>
      <c r="L18" s="324">
        <v>1</v>
      </c>
      <c r="M18" s="324"/>
      <c r="N18" s="324"/>
      <c r="O18" s="325"/>
      <c r="P18" s="324"/>
      <c r="Q18" s="325"/>
      <c r="R18" s="324"/>
      <c r="S18" s="325">
        <v>1</v>
      </c>
      <c r="T18" s="324"/>
      <c r="U18" s="325"/>
      <c r="V18" s="324"/>
      <c r="W18" s="325"/>
      <c r="X18" s="324"/>
      <c r="Y18" s="299">
        <v>0.33333333333333331</v>
      </c>
      <c r="Z18" s="299">
        <v>0.70833333333333337</v>
      </c>
      <c r="AA18" s="310"/>
    </row>
    <row r="19" spans="1:27" s="276" customFormat="1" ht="27" customHeight="1" x14ac:dyDescent="0.2">
      <c r="A19" s="293" t="s">
        <v>228</v>
      </c>
      <c r="B19" s="287">
        <v>0.22638888888888889</v>
      </c>
      <c r="C19" s="287">
        <v>0.60763888888888895</v>
      </c>
      <c r="D19" s="287">
        <v>0.22638888888888889</v>
      </c>
      <c r="E19" s="287">
        <v>0.60763888888888895</v>
      </c>
      <c r="F19" s="288">
        <v>0.22916666666666666</v>
      </c>
      <c r="G19" s="288">
        <v>0.60416666666666663</v>
      </c>
      <c r="H19" s="318"/>
      <c r="I19" s="318"/>
      <c r="J19" s="319"/>
      <c r="K19" s="318"/>
      <c r="L19" s="320">
        <v>1</v>
      </c>
      <c r="M19" s="320"/>
      <c r="N19" s="320"/>
      <c r="O19" s="321"/>
      <c r="P19" s="320"/>
      <c r="Q19" s="321"/>
      <c r="R19" s="320"/>
      <c r="S19" s="321"/>
      <c r="T19" s="320"/>
      <c r="U19" s="321"/>
      <c r="V19" s="320"/>
      <c r="W19" s="321"/>
      <c r="X19" s="320"/>
      <c r="Y19" s="298">
        <v>0.33333333333333331</v>
      </c>
      <c r="Z19" s="298">
        <v>0.70833333333333337</v>
      </c>
      <c r="AA19" s="309"/>
    </row>
    <row r="20" spans="1:27" s="276" customFormat="1" ht="27" customHeight="1" x14ac:dyDescent="0.2">
      <c r="A20" s="293" t="s">
        <v>229</v>
      </c>
      <c r="B20" s="287">
        <v>0.49861111111111112</v>
      </c>
      <c r="C20" s="287">
        <v>0.63055555555555554</v>
      </c>
      <c r="D20" s="287">
        <v>0.49861111111111112</v>
      </c>
      <c r="E20" s="287">
        <v>0.63055555555555554</v>
      </c>
      <c r="F20" s="288">
        <v>0</v>
      </c>
      <c r="G20" s="288">
        <v>0.63055555555555554</v>
      </c>
      <c r="H20" s="318"/>
      <c r="I20" s="318"/>
      <c r="J20" s="319"/>
      <c r="K20" s="318"/>
      <c r="L20" s="320"/>
      <c r="M20" s="320"/>
      <c r="N20" s="320"/>
      <c r="O20" s="321"/>
      <c r="P20" s="320"/>
      <c r="Q20" s="321"/>
      <c r="R20" s="320"/>
      <c r="S20" s="321"/>
      <c r="T20" s="320"/>
      <c r="U20" s="321"/>
      <c r="V20" s="320"/>
      <c r="W20" s="321"/>
      <c r="X20" s="320"/>
      <c r="Y20" s="298">
        <v>0.33333333333333331</v>
      </c>
      <c r="Z20" s="298">
        <v>0.70833333333333337</v>
      </c>
      <c r="AA20" s="309"/>
    </row>
    <row r="21" spans="1:27" s="276" customFormat="1" ht="27" customHeight="1" x14ac:dyDescent="0.2">
      <c r="A21" s="294" t="s">
        <v>229</v>
      </c>
      <c r="B21" s="286">
        <v>0.67013888888888884</v>
      </c>
      <c r="C21" s="286">
        <v>0.875</v>
      </c>
      <c r="D21" s="286">
        <v>0.67013888888888884</v>
      </c>
      <c r="E21" s="286">
        <v>0.875</v>
      </c>
      <c r="F21" s="307">
        <v>0.67222222222222217</v>
      </c>
      <c r="G21" s="307">
        <v>0.875</v>
      </c>
      <c r="H21" s="322"/>
      <c r="I21" s="322"/>
      <c r="J21" s="323"/>
      <c r="K21" s="322"/>
      <c r="L21" s="324">
        <v>1</v>
      </c>
      <c r="M21" s="324"/>
      <c r="N21" s="324"/>
      <c r="O21" s="325"/>
      <c r="P21" s="324"/>
      <c r="Q21" s="325"/>
      <c r="R21" s="324"/>
      <c r="S21" s="325"/>
      <c r="T21" s="324"/>
      <c r="U21" s="325"/>
      <c r="V21" s="324"/>
      <c r="W21" s="325"/>
      <c r="X21" s="324"/>
      <c r="Y21" s="299">
        <v>0.33333333333333331</v>
      </c>
      <c r="Z21" s="299">
        <v>0.70833333333333337</v>
      </c>
      <c r="AA21" s="310"/>
    </row>
    <row r="22" spans="1:27" s="276" customFormat="1" ht="27" customHeight="1" x14ac:dyDescent="0.2">
      <c r="A22" s="294" t="s">
        <v>231</v>
      </c>
      <c r="B22" s="289"/>
      <c r="C22" s="289"/>
      <c r="D22" s="290"/>
      <c r="E22" s="290"/>
      <c r="F22" s="366" t="s">
        <v>173</v>
      </c>
      <c r="G22" s="366"/>
      <c r="H22" s="322"/>
      <c r="I22" s="322"/>
      <c r="J22" s="323"/>
      <c r="K22" s="322"/>
      <c r="L22" s="324"/>
      <c r="M22" s="324"/>
      <c r="N22" s="324"/>
      <c r="O22" s="325"/>
      <c r="P22" s="324"/>
      <c r="Q22" s="325"/>
      <c r="R22" s="324"/>
      <c r="S22" s="325"/>
      <c r="T22" s="324"/>
      <c r="U22" s="325"/>
      <c r="V22" s="324"/>
      <c r="W22" s="325"/>
      <c r="X22" s="324"/>
      <c r="Y22" s="303"/>
      <c r="Z22" s="303"/>
      <c r="AA22" s="310"/>
    </row>
    <row r="23" spans="1:27" s="276" customFormat="1" ht="27" customHeight="1" x14ac:dyDescent="0.2">
      <c r="A23" s="293" t="s">
        <v>232</v>
      </c>
      <c r="B23" s="287">
        <v>0.23194444444444443</v>
      </c>
      <c r="C23" s="287">
        <v>0.60972222222222217</v>
      </c>
      <c r="D23" s="287">
        <v>0.23194444444444443</v>
      </c>
      <c r="E23" s="287">
        <v>0.60972222222222217</v>
      </c>
      <c r="F23" s="288">
        <v>0.22916666666666666</v>
      </c>
      <c r="G23" s="288">
        <v>0.60416666666666663</v>
      </c>
      <c r="H23" s="318"/>
      <c r="I23" s="318"/>
      <c r="J23" s="319"/>
      <c r="K23" s="318"/>
      <c r="L23" s="320">
        <v>1</v>
      </c>
      <c r="M23" s="320"/>
      <c r="N23" s="320"/>
      <c r="O23" s="321"/>
      <c r="P23" s="320"/>
      <c r="Q23" s="321"/>
      <c r="R23" s="320"/>
      <c r="S23" s="321"/>
      <c r="T23" s="320"/>
      <c r="U23" s="321"/>
      <c r="V23" s="320"/>
      <c r="W23" s="321"/>
      <c r="X23" s="320"/>
      <c r="Y23" s="298">
        <v>0.33333333333333331</v>
      </c>
      <c r="Z23" s="298">
        <v>0.70833333333333337</v>
      </c>
      <c r="AA23" s="309"/>
    </row>
    <row r="24" spans="1:27" s="276" customFormat="1" ht="27" customHeight="1" x14ac:dyDescent="0.2">
      <c r="A24" s="294" t="s">
        <v>233</v>
      </c>
      <c r="B24" s="286">
        <v>0.22847222222222222</v>
      </c>
      <c r="C24" s="286">
        <v>0.61319444444444449</v>
      </c>
      <c r="D24" s="286">
        <v>0.22847222222222222</v>
      </c>
      <c r="E24" s="286">
        <v>0.61319444444444449</v>
      </c>
      <c r="F24" s="286">
        <v>0.33333333333333331</v>
      </c>
      <c r="G24" s="286">
        <v>0.70833333333333337</v>
      </c>
      <c r="H24" s="322"/>
      <c r="I24" s="322" t="s">
        <v>261</v>
      </c>
      <c r="J24" s="323"/>
      <c r="K24" s="322"/>
      <c r="L24" s="324">
        <v>1</v>
      </c>
      <c r="M24" s="324"/>
      <c r="N24" s="324"/>
      <c r="O24" s="325"/>
      <c r="P24" s="324"/>
      <c r="Q24" s="325"/>
      <c r="R24" s="324"/>
      <c r="S24" s="325"/>
      <c r="T24" s="324"/>
      <c r="U24" s="325"/>
      <c r="V24" s="324"/>
      <c r="W24" s="325"/>
      <c r="X24" s="324"/>
      <c r="Y24" s="299">
        <v>0.33333333333333331</v>
      </c>
      <c r="Z24" s="299">
        <v>0.70833333333333337</v>
      </c>
      <c r="AA24" s="310"/>
    </row>
    <row r="25" spans="1:27" s="276" customFormat="1" ht="27" customHeight="1" x14ac:dyDescent="0.2">
      <c r="A25" s="293" t="s">
        <v>234</v>
      </c>
      <c r="B25" s="300"/>
      <c r="C25" s="300"/>
      <c r="D25" s="301"/>
      <c r="E25" s="301"/>
      <c r="F25" s="365" t="s">
        <v>235</v>
      </c>
      <c r="G25" s="365"/>
      <c r="H25" s="318"/>
      <c r="I25" s="318"/>
      <c r="J25" s="319"/>
      <c r="K25" s="318"/>
      <c r="L25" s="320">
        <v>1</v>
      </c>
      <c r="M25" s="320"/>
      <c r="N25" s="320"/>
      <c r="O25" s="321"/>
      <c r="P25" s="320"/>
      <c r="Q25" s="321"/>
      <c r="R25" s="320"/>
      <c r="S25" s="321"/>
      <c r="T25" s="320"/>
      <c r="U25" s="321"/>
      <c r="V25" s="320"/>
      <c r="W25" s="321"/>
      <c r="X25" s="320"/>
      <c r="Y25" s="302"/>
      <c r="Z25" s="302"/>
      <c r="AA25" s="309"/>
    </row>
    <row r="26" spans="1:27" s="276" customFormat="1" ht="27" customHeight="1" x14ac:dyDescent="0.2">
      <c r="A26" s="294" t="s">
        <v>236</v>
      </c>
      <c r="B26" s="289"/>
      <c r="C26" s="289"/>
      <c r="D26" s="290"/>
      <c r="E26" s="290"/>
      <c r="F26" s="366" t="s">
        <v>235</v>
      </c>
      <c r="G26" s="366"/>
      <c r="H26" s="322"/>
      <c r="I26" s="322"/>
      <c r="J26" s="323"/>
      <c r="K26" s="322"/>
      <c r="L26" s="324">
        <v>1</v>
      </c>
      <c r="M26" s="324"/>
      <c r="N26" s="324"/>
      <c r="O26" s="325"/>
      <c r="P26" s="324"/>
      <c r="Q26" s="325"/>
      <c r="R26" s="324"/>
      <c r="S26" s="325"/>
      <c r="T26" s="324"/>
      <c r="U26" s="325"/>
      <c r="V26" s="324"/>
      <c r="W26" s="325"/>
      <c r="X26" s="324"/>
      <c r="Y26" s="303"/>
      <c r="Z26" s="303"/>
      <c r="AA26" s="310"/>
    </row>
    <row r="27" spans="1:27" s="276" customFormat="1" ht="27" customHeight="1" x14ac:dyDescent="0.2">
      <c r="A27" s="293" t="s">
        <v>237</v>
      </c>
      <c r="B27" s="300"/>
      <c r="C27" s="300"/>
      <c r="D27" s="301"/>
      <c r="E27" s="301"/>
      <c r="F27" s="365" t="s">
        <v>235</v>
      </c>
      <c r="G27" s="365"/>
      <c r="H27" s="318"/>
      <c r="I27" s="318"/>
      <c r="J27" s="319"/>
      <c r="K27" s="318"/>
      <c r="L27" s="320">
        <v>1</v>
      </c>
      <c r="M27" s="320"/>
      <c r="N27" s="320"/>
      <c r="O27" s="321"/>
      <c r="P27" s="320"/>
      <c r="Q27" s="321"/>
      <c r="R27" s="320"/>
      <c r="S27" s="321"/>
      <c r="T27" s="320"/>
      <c r="U27" s="321"/>
      <c r="V27" s="320"/>
      <c r="W27" s="321"/>
      <c r="X27" s="320"/>
      <c r="Y27" s="302"/>
      <c r="Z27" s="302"/>
      <c r="AA27" s="309"/>
    </row>
    <row r="28" spans="1:27" s="276" customFormat="1" ht="27" customHeight="1" x14ac:dyDescent="0.2">
      <c r="A28" s="281" t="s">
        <v>3</v>
      </c>
      <c r="B28" s="281"/>
      <c r="C28" s="281"/>
      <c r="D28" s="281"/>
      <c r="E28" s="281"/>
      <c r="F28" s="281"/>
      <c r="G28" s="281"/>
      <c r="H28" s="326">
        <f>SUM(H8:H27)</f>
        <v>0</v>
      </c>
      <c r="I28" s="326">
        <f t="shared" ref="I28:X28" si="0">SUM(I8:I27)</f>
        <v>0</v>
      </c>
      <c r="J28" s="326">
        <f t="shared" si="0"/>
        <v>0</v>
      </c>
      <c r="K28" s="326">
        <f t="shared" si="0"/>
        <v>0</v>
      </c>
      <c r="L28" s="326">
        <f t="shared" si="0"/>
        <v>12</v>
      </c>
      <c r="M28" s="326">
        <f t="shared" si="0"/>
        <v>1.6333333333333333</v>
      </c>
      <c r="N28" s="326">
        <f t="shared" si="0"/>
        <v>0</v>
      </c>
      <c r="O28" s="326">
        <f t="shared" si="0"/>
        <v>0</v>
      </c>
      <c r="P28" s="326">
        <f t="shared" si="0"/>
        <v>0</v>
      </c>
      <c r="Q28" s="326">
        <f t="shared" si="0"/>
        <v>0</v>
      </c>
      <c r="R28" s="326">
        <f t="shared" si="0"/>
        <v>0</v>
      </c>
      <c r="S28" s="326">
        <f t="shared" si="0"/>
        <v>1</v>
      </c>
      <c r="T28" s="326">
        <f t="shared" si="0"/>
        <v>0</v>
      </c>
      <c r="U28" s="326">
        <f t="shared" si="0"/>
        <v>0</v>
      </c>
      <c r="V28" s="326">
        <f t="shared" si="0"/>
        <v>0</v>
      </c>
      <c r="W28" s="326">
        <f t="shared" si="0"/>
        <v>0</v>
      </c>
      <c r="X28" s="326">
        <f t="shared" si="0"/>
        <v>0</v>
      </c>
      <c r="Y28" s="296"/>
      <c r="Z28" s="296"/>
      <c r="AA28" s="296"/>
    </row>
    <row r="29" spans="1:27" s="276" customFormat="1" ht="27" customHeight="1" thickBot="1" x14ac:dyDescent="0.25">
      <c r="H29" s="327"/>
      <c r="I29" s="327"/>
      <c r="J29" s="327"/>
      <c r="K29" s="327"/>
      <c r="L29" s="328"/>
      <c r="M29" s="328"/>
      <c r="N29" s="328"/>
      <c r="O29" s="328"/>
      <c r="P29" s="328"/>
      <c r="Q29" s="328"/>
      <c r="R29" s="328"/>
      <c r="S29" s="328"/>
      <c r="T29" s="328"/>
      <c r="U29" s="328"/>
      <c r="V29" s="328"/>
      <c r="W29" s="328"/>
      <c r="X29" s="328"/>
      <c r="Y29" s="304"/>
      <c r="Z29" s="304"/>
      <c r="AA29" s="304"/>
    </row>
    <row r="30" spans="1:27" s="276" customFormat="1" ht="27" customHeight="1" thickBot="1" x14ac:dyDescent="0.25">
      <c r="A30" s="297" t="s">
        <v>169</v>
      </c>
      <c r="B30" s="285"/>
      <c r="C30" s="285"/>
      <c r="D30" s="285"/>
      <c r="E30" s="285"/>
      <c r="F30" s="285"/>
      <c r="G30" s="285"/>
      <c r="H30" s="369" t="s">
        <v>91</v>
      </c>
      <c r="I30" s="370"/>
      <c r="J30" s="370"/>
      <c r="K30" s="371"/>
      <c r="L30" s="372" t="s">
        <v>90</v>
      </c>
      <c r="M30" s="374" t="s">
        <v>157</v>
      </c>
      <c r="N30" s="374" t="s">
        <v>158</v>
      </c>
      <c r="O30" s="376" t="s">
        <v>159</v>
      </c>
      <c r="P30" s="377"/>
      <c r="Q30" s="378"/>
      <c r="R30" s="374" t="s">
        <v>160</v>
      </c>
      <c r="S30" s="376" t="s">
        <v>19</v>
      </c>
      <c r="T30" s="377"/>
      <c r="U30" s="378"/>
      <c r="V30" s="374" t="s">
        <v>124</v>
      </c>
      <c r="W30" s="374" t="s">
        <v>125</v>
      </c>
      <c r="X30" s="363" t="s">
        <v>105</v>
      </c>
      <c r="Y30" s="296" t="s">
        <v>161</v>
      </c>
      <c r="Z30" s="296"/>
      <c r="AA30" s="296" t="s">
        <v>162</v>
      </c>
    </row>
    <row r="31" spans="1:27" s="276" customFormat="1" ht="27" customHeight="1" thickBot="1" x14ac:dyDescent="0.25">
      <c r="A31" s="297" t="s">
        <v>171</v>
      </c>
      <c r="B31" s="285" t="s">
        <v>262</v>
      </c>
      <c r="C31" s="285"/>
      <c r="D31" s="285"/>
      <c r="E31" s="285"/>
      <c r="F31" s="285"/>
      <c r="G31" s="285"/>
      <c r="H31" s="282" t="s">
        <v>165</v>
      </c>
      <c r="I31" s="282" t="s">
        <v>93</v>
      </c>
      <c r="J31" s="282" t="s">
        <v>94</v>
      </c>
      <c r="K31" s="283" t="s">
        <v>166</v>
      </c>
      <c r="L31" s="373"/>
      <c r="M31" s="375"/>
      <c r="N31" s="375"/>
      <c r="O31" s="284" t="s">
        <v>167</v>
      </c>
      <c r="P31" s="284" t="s">
        <v>168</v>
      </c>
      <c r="Q31" s="315" t="s">
        <v>125</v>
      </c>
      <c r="R31" s="375"/>
      <c r="S31" s="284" t="s">
        <v>167</v>
      </c>
      <c r="T31" s="284" t="s">
        <v>168</v>
      </c>
      <c r="U31" s="315" t="s">
        <v>125</v>
      </c>
      <c r="V31" s="375"/>
      <c r="W31" s="375"/>
      <c r="X31" s="364"/>
      <c r="Y31" s="296" t="s">
        <v>163</v>
      </c>
      <c r="Z31" s="296" t="s">
        <v>164</v>
      </c>
      <c r="AA31" s="296"/>
    </row>
    <row r="32" spans="1:27" s="276" customFormat="1" ht="27" customHeight="1" x14ac:dyDescent="0.2">
      <c r="A32" s="293" t="s">
        <v>216</v>
      </c>
      <c r="B32" s="314">
        <v>0.3</v>
      </c>
      <c r="C32" s="314">
        <v>0.68194444444444446</v>
      </c>
      <c r="D32" s="314"/>
      <c r="E32" s="314"/>
      <c r="F32" s="365" t="s">
        <v>263</v>
      </c>
      <c r="G32" s="365"/>
      <c r="H32" s="318"/>
      <c r="I32" s="318"/>
      <c r="J32" s="319"/>
      <c r="K32" s="318"/>
      <c r="L32" s="320">
        <v>1</v>
      </c>
      <c r="M32" s="320">
        <f>12/60</f>
        <v>0.2</v>
      </c>
      <c r="N32" s="320"/>
      <c r="O32" s="321"/>
      <c r="P32" s="320"/>
      <c r="Q32" s="321"/>
      <c r="R32" s="320"/>
      <c r="S32" s="321"/>
      <c r="T32" s="320"/>
      <c r="U32" s="321"/>
      <c r="V32" s="320"/>
      <c r="W32" s="321"/>
      <c r="X32" s="320"/>
      <c r="Y32" s="298"/>
      <c r="Z32" s="298"/>
      <c r="AA32" s="309"/>
    </row>
    <row r="33" spans="1:27" s="276" customFormat="1" ht="27" customHeight="1" x14ac:dyDescent="0.2">
      <c r="A33" s="294" t="s">
        <v>218</v>
      </c>
      <c r="B33" s="313">
        <v>0.30833333333333335</v>
      </c>
      <c r="C33" s="313">
        <v>0.67986111111111114</v>
      </c>
      <c r="D33" s="311"/>
      <c r="E33" s="311"/>
      <c r="F33" s="380" t="s">
        <v>207</v>
      </c>
      <c r="G33" s="380"/>
      <c r="H33" s="322"/>
      <c r="I33" s="322"/>
      <c r="J33" s="323"/>
      <c r="K33" s="322"/>
      <c r="L33" s="324">
        <v>1</v>
      </c>
      <c r="M33" s="324">
        <f>24/60</f>
        <v>0.4</v>
      </c>
      <c r="N33" s="324"/>
      <c r="O33" s="325"/>
      <c r="P33" s="324"/>
      <c r="Q33" s="325"/>
      <c r="R33" s="324"/>
      <c r="S33" s="325"/>
      <c r="T33" s="324"/>
      <c r="U33" s="325"/>
      <c r="V33" s="324"/>
      <c r="W33" s="325"/>
      <c r="X33" s="324"/>
      <c r="Y33" s="303"/>
      <c r="Z33" s="303"/>
      <c r="AA33" s="310"/>
    </row>
    <row r="34" spans="1:27" s="276" customFormat="1" ht="27" customHeight="1" x14ac:dyDescent="0.2">
      <c r="A34" s="293" t="s">
        <v>219</v>
      </c>
      <c r="B34" s="312"/>
      <c r="C34" s="312"/>
      <c r="D34" s="312"/>
      <c r="E34" s="312"/>
      <c r="F34" s="365" t="s">
        <v>173</v>
      </c>
      <c r="G34" s="365"/>
      <c r="H34" s="318"/>
      <c r="I34" s="318"/>
      <c r="J34" s="319"/>
      <c r="K34" s="318"/>
      <c r="L34" s="320"/>
      <c r="M34" s="320"/>
      <c r="N34" s="320"/>
      <c r="O34" s="321"/>
      <c r="P34" s="320"/>
      <c r="Q34" s="321"/>
      <c r="R34" s="320"/>
      <c r="S34" s="321"/>
      <c r="T34" s="320"/>
      <c r="U34" s="321"/>
      <c r="V34" s="320"/>
      <c r="W34" s="321"/>
      <c r="X34" s="320"/>
      <c r="Y34" s="302"/>
      <c r="Z34" s="302"/>
      <c r="AA34" s="309"/>
    </row>
    <row r="35" spans="1:27" s="276" customFormat="1" ht="27" customHeight="1" x14ac:dyDescent="0.2">
      <c r="A35" s="294" t="s">
        <v>220</v>
      </c>
      <c r="B35" s="313"/>
      <c r="C35" s="313"/>
      <c r="D35" s="313"/>
      <c r="E35" s="313"/>
      <c r="F35" s="366" t="s">
        <v>173</v>
      </c>
      <c r="G35" s="366"/>
      <c r="H35" s="322"/>
      <c r="I35" s="322"/>
      <c r="J35" s="323"/>
      <c r="K35" s="322"/>
      <c r="L35" s="324"/>
      <c r="M35" s="324"/>
      <c r="N35" s="324"/>
      <c r="O35" s="325"/>
      <c r="P35" s="324"/>
      <c r="Q35" s="325"/>
      <c r="R35" s="324"/>
      <c r="S35" s="325"/>
      <c r="T35" s="324"/>
      <c r="U35" s="325"/>
      <c r="V35" s="324"/>
      <c r="W35" s="325"/>
      <c r="X35" s="324"/>
      <c r="Y35" s="299"/>
      <c r="Z35" s="299"/>
      <c r="AA35" s="310"/>
    </row>
    <row r="36" spans="1:27" s="276" customFormat="1" ht="27" customHeight="1" x14ac:dyDescent="0.2">
      <c r="A36" s="293" t="s">
        <v>222</v>
      </c>
      <c r="B36" s="314">
        <v>0.33680555555555558</v>
      </c>
      <c r="C36" s="314">
        <v>0.71666666666666667</v>
      </c>
      <c r="D36" s="314"/>
      <c r="E36" s="314"/>
      <c r="F36" s="383" t="s">
        <v>201</v>
      </c>
      <c r="G36" s="365"/>
      <c r="H36" s="318"/>
      <c r="I36" s="318"/>
      <c r="J36" s="319"/>
      <c r="K36" s="318"/>
      <c r="L36" s="320">
        <v>1</v>
      </c>
      <c r="M36" s="320"/>
      <c r="N36" s="320"/>
      <c r="O36" s="321"/>
      <c r="P36" s="320"/>
      <c r="Q36" s="321"/>
      <c r="R36" s="320"/>
      <c r="S36" s="321"/>
      <c r="T36" s="320"/>
      <c r="U36" s="321"/>
      <c r="V36" s="320"/>
      <c r="W36" s="321"/>
      <c r="X36" s="320"/>
      <c r="Y36" s="298"/>
      <c r="Z36" s="298"/>
      <c r="AA36" s="309"/>
    </row>
    <row r="37" spans="1:27" s="276" customFormat="1" ht="27" customHeight="1" x14ac:dyDescent="0.2">
      <c r="A37" s="294" t="s">
        <v>223</v>
      </c>
      <c r="B37" s="311"/>
      <c r="C37" s="311"/>
      <c r="D37" s="311"/>
      <c r="E37" s="311"/>
      <c r="F37" s="366" t="s">
        <v>224</v>
      </c>
      <c r="G37" s="366"/>
      <c r="H37" s="322"/>
      <c r="I37" s="322"/>
      <c r="J37" s="323"/>
      <c r="K37" s="322"/>
      <c r="L37" s="324"/>
      <c r="M37" s="324"/>
      <c r="N37" s="324"/>
      <c r="O37" s="325"/>
      <c r="P37" s="324"/>
      <c r="Q37" s="325"/>
      <c r="R37" s="324"/>
      <c r="S37" s="325"/>
      <c r="T37" s="324"/>
      <c r="U37" s="325"/>
      <c r="V37" s="324"/>
      <c r="W37" s="325"/>
      <c r="X37" s="324"/>
      <c r="Y37" s="303"/>
      <c r="Z37" s="303"/>
      <c r="AA37" s="310"/>
    </row>
    <row r="38" spans="1:27" s="276" customFormat="1" ht="27" customHeight="1" x14ac:dyDescent="0.2">
      <c r="A38" s="293" t="s">
        <v>225</v>
      </c>
      <c r="B38" s="312"/>
      <c r="C38" s="312"/>
      <c r="D38" s="312"/>
      <c r="E38" s="312"/>
      <c r="F38" s="366" t="s">
        <v>224</v>
      </c>
      <c r="G38" s="366"/>
      <c r="H38" s="318"/>
      <c r="I38" s="318"/>
      <c r="J38" s="319"/>
      <c r="K38" s="318"/>
      <c r="L38" s="320"/>
      <c r="M38" s="320"/>
      <c r="N38" s="320"/>
      <c r="O38" s="321"/>
      <c r="P38" s="320"/>
      <c r="Q38" s="321"/>
      <c r="R38" s="320"/>
      <c r="S38" s="321"/>
      <c r="T38" s="320"/>
      <c r="U38" s="321"/>
      <c r="V38" s="320"/>
      <c r="W38" s="321"/>
      <c r="X38" s="320"/>
      <c r="Y38" s="302"/>
      <c r="Z38" s="302"/>
      <c r="AA38" s="309"/>
    </row>
    <row r="39" spans="1:27" s="276" customFormat="1" ht="27" customHeight="1" x14ac:dyDescent="0.2">
      <c r="A39" s="294" t="s">
        <v>226</v>
      </c>
      <c r="B39" s="313">
        <v>0.35069444444444442</v>
      </c>
      <c r="C39" s="313">
        <v>0.7284722222222223</v>
      </c>
      <c r="D39" s="313"/>
      <c r="E39" s="313"/>
      <c r="F39" s="380" t="s">
        <v>201</v>
      </c>
      <c r="G39" s="366"/>
      <c r="H39" s="322"/>
      <c r="I39" s="322"/>
      <c r="J39" s="323"/>
      <c r="K39" s="322"/>
      <c r="L39" s="324">
        <v>1</v>
      </c>
      <c r="M39" s="324">
        <f>25/60</f>
        <v>0.41666666666666669</v>
      </c>
      <c r="N39" s="324"/>
      <c r="O39" s="325"/>
      <c r="P39" s="324"/>
      <c r="Q39" s="325"/>
      <c r="R39" s="324"/>
      <c r="S39" s="325"/>
      <c r="T39" s="324"/>
      <c r="U39" s="325"/>
      <c r="V39" s="324"/>
      <c r="W39" s="325"/>
      <c r="X39" s="324"/>
      <c r="Y39" s="299"/>
      <c r="Z39" s="299"/>
      <c r="AA39" s="310"/>
    </row>
    <row r="40" spans="1:27" s="276" customFormat="1" ht="27" customHeight="1" x14ac:dyDescent="0.2">
      <c r="A40" s="293" t="s">
        <v>228</v>
      </c>
      <c r="B40" s="314">
        <v>0.33958333333333335</v>
      </c>
      <c r="C40" s="314">
        <v>0.71875</v>
      </c>
      <c r="D40" s="314"/>
      <c r="E40" s="314"/>
      <c r="F40" s="383" t="s">
        <v>201</v>
      </c>
      <c r="G40" s="365"/>
      <c r="H40" s="318"/>
      <c r="I40" s="318"/>
      <c r="J40" s="319"/>
      <c r="K40" s="318"/>
      <c r="L40" s="320">
        <v>1</v>
      </c>
      <c r="M40" s="320">
        <f>9/60</f>
        <v>0.15</v>
      </c>
      <c r="N40" s="320"/>
      <c r="O40" s="321"/>
      <c r="P40" s="320"/>
      <c r="Q40" s="321"/>
      <c r="R40" s="320"/>
      <c r="S40" s="321"/>
      <c r="T40" s="320"/>
      <c r="U40" s="321"/>
      <c r="V40" s="320"/>
      <c r="W40" s="321"/>
      <c r="X40" s="320"/>
      <c r="Y40" s="298"/>
      <c r="Z40" s="298"/>
      <c r="AA40" s="309"/>
    </row>
    <row r="41" spans="1:27" s="276" customFormat="1" ht="27" customHeight="1" x14ac:dyDescent="0.2">
      <c r="A41" s="294" t="s">
        <v>229</v>
      </c>
      <c r="B41" s="311"/>
      <c r="C41" s="311"/>
      <c r="D41" s="311"/>
      <c r="E41" s="311"/>
      <c r="F41" s="366" t="s">
        <v>173</v>
      </c>
      <c r="G41" s="366"/>
      <c r="H41" s="322"/>
      <c r="I41" s="322"/>
      <c r="J41" s="323"/>
      <c r="K41" s="322"/>
      <c r="L41" s="324"/>
      <c r="M41" s="324"/>
      <c r="N41" s="324"/>
      <c r="O41" s="325"/>
      <c r="P41" s="324"/>
      <c r="Q41" s="325"/>
      <c r="R41" s="324"/>
      <c r="S41" s="325"/>
      <c r="T41" s="324"/>
      <c r="U41" s="325"/>
      <c r="V41" s="324"/>
      <c r="W41" s="325"/>
      <c r="X41" s="324"/>
      <c r="Y41" s="303"/>
      <c r="Z41" s="303"/>
      <c r="AA41" s="310"/>
    </row>
    <row r="42" spans="1:27" s="276" customFormat="1" ht="27" customHeight="1" x14ac:dyDescent="0.2">
      <c r="A42" s="293" t="s">
        <v>231</v>
      </c>
      <c r="B42" s="312"/>
      <c r="C42" s="312"/>
      <c r="D42" s="312"/>
      <c r="E42" s="312"/>
      <c r="F42" s="365" t="s">
        <v>173</v>
      </c>
      <c r="G42" s="365"/>
      <c r="H42" s="318"/>
      <c r="I42" s="318"/>
      <c r="J42" s="319"/>
      <c r="K42" s="318"/>
      <c r="L42" s="320"/>
      <c r="M42" s="320"/>
      <c r="N42" s="320"/>
      <c r="O42" s="321"/>
      <c r="P42" s="320"/>
      <c r="Q42" s="321"/>
      <c r="R42" s="320"/>
      <c r="S42" s="321"/>
      <c r="T42" s="320"/>
      <c r="U42" s="321"/>
      <c r="V42" s="320"/>
      <c r="W42" s="321"/>
      <c r="X42" s="320"/>
      <c r="Y42" s="302"/>
      <c r="Z42" s="302"/>
      <c r="AA42" s="309"/>
    </row>
    <row r="43" spans="1:27" s="276" customFormat="1" ht="27" customHeight="1" x14ac:dyDescent="0.2">
      <c r="A43" s="294" t="s">
        <v>232</v>
      </c>
      <c r="B43" s="313">
        <v>0.34652777777777777</v>
      </c>
      <c r="C43" s="313">
        <v>0.71805555555555556</v>
      </c>
      <c r="D43" s="313"/>
      <c r="E43" s="313"/>
      <c r="F43" s="380" t="s">
        <v>201</v>
      </c>
      <c r="G43" s="366"/>
      <c r="H43" s="322"/>
      <c r="I43" s="322"/>
      <c r="J43" s="323"/>
      <c r="K43" s="322"/>
      <c r="L43" s="324">
        <v>1</v>
      </c>
      <c r="M43" s="324">
        <f>19/60</f>
        <v>0.31666666666666665</v>
      </c>
      <c r="N43" s="324"/>
      <c r="O43" s="325"/>
      <c r="P43" s="324"/>
      <c r="Q43" s="325"/>
      <c r="R43" s="324"/>
      <c r="S43" s="325"/>
      <c r="T43" s="324"/>
      <c r="U43" s="325"/>
      <c r="V43" s="324"/>
      <c r="W43" s="325"/>
      <c r="X43" s="324"/>
      <c r="Y43" s="299"/>
      <c r="Z43" s="299"/>
      <c r="AA43" s="310"/>
    </row>
    <row r="44" spans="1:27" s="276" customFormat="1" ht="27" customHeight="1" x14ac:dyDescent="0.2">
      <c r="A44" s="293" t="s">
        <v>233</v>
      </c>
      <c r="B44" s="314">
        <v>0.35000000000000003</v>
      </c>
      <c r="C44" s="312"/>
      <c r="D44" s="312"/>
      <c r="E44" s="312"/>
      <c r="F44" s="383" t="s">
        <v>201</v>
      </c>
      <c r="G44" s="365"/>
      <c r="H44" s="318"/>
      <c r="I44" s="318"/>
      <c r="J44" s="319"/>
      <c r="K44" s="318"/>
      <c r="L44" s="320">
        <v>1</v>
      </c>
      <c r="M44" s="320">
        <f>24/60</f>
        <v>0.4</v>
      </c>
      <c r="N44" s="320"/>
      <c r="O44" s="321"/>
      <c r="P44" s="320"/>
      <c r="Q44" s="321"/>
      <c r="R44" s="320"/>
      <c r="S44" s="321"/>
      <c r="T44" s="320"/>
      <c r="U44" s="321"/>
      <c r="V44" s="320"/>
      <c r="W44" s="321"/>
      <c r="X44" s="320"/>
      <c r="Y44" s="302"/>
      <c r="Z44" s="302"/>
      <c r="AA44" s="309"/>
    </row>
    <row r="45" spans="1:27" s="276" customFormat="1" ht="27" customHeight="1" x14ac:dyDescent="0.2">
      <c r="A45" s="294" t="s">
        <v>234</v>
      </c>
      <c r="B45" s="311"/>
      <c r="C45" s="311"/>
      <c r="D45" s="311"/>
      <c r="E45" s="311"/>
      <c r="F45" s="380" t="s">
        <v>201</v>
      </c>
      <c r="G45" s="366"/>
      <c r="H45" s="322"/>
      <c r="I45" s="322"/>
      <c r="J45" s="323"/>
      <c r="K45" s="322"/>
      <c r="L45" s="324">
        <v>1</v>
      </c>
      <c r="M45" s="324"/>
      <c r="N45" s="324"/>
      <c r="O45" s="325"/>
      <c r="P45" s="324"/>
      <c r="Q45" s="325"/>
      <c r="R45" s="324"/>
      <c r="S45" s="325"/>
      <c r="T45" s="324"/>
      <c r="U45" s="325"/>
      <c r="V45" s="324"/>
      <c r="W45" s="325"/>
      <c r="X45" s="324"/>
      <c r="Y45" s="303"/>
      <c r="Z45" s="303"/>
      <c r="AA45" s="310"/>
    </row>
    <row r="46" spans="1:27" s="276" customFormat="1" ht="27" customHeight="1" x14ac:dyDescent="0.2">
      <c r="A46" s="293" t="s">
        <v>236</v>
      </c>
      <c r="B46" s="312"/>
      <c r="C46" s="312"/>
      <c r="D46" s="312"/>
      <c r="E46" s="312"/>
      <c r="F46" s="383" t="s">
        <v>201</v>
      </c>
      <c r="G46" s="365"/>
      <c r="H46" s="318"/>
      <c r="I46" s="318"/>
      <c r="J46" s="319"/>
      <c r="K46" s="318"/>
      <c r="L46" s="320">
        <v>1</v>
      </c>
      <c r="M46" s="320"/>
      <c r="N46" s="320"/>
      <c r="O46" s="321"/>
      <c r="P46" s="320"/>
      <c r="Q46" s="321"/>
      <c r="R46" s="320"/>
      <c r="S46" s="321"/>
      <c r="T46" s="320"/>
      <c r="U46" s="321"/>
      <c r="V46" s="320"/>
      <c r="W46" s="321"/>
      <c r="X46" s="320"/>
      <c r="Y46" s="302"/>
      <c r="Z46" s="302"/>
      <c r="AA46" s="309"/>
    </row>
    <row r="47" spans="1:27" s="276" customFormat="1" ht="27" customHeight="1" x14ac:dyDescent="0.2">
      <c r="A47" s="294" t="s">
        <v>237</v>
      </c>
      <c r="B47" s="311"/>
      <c r="C47" s="311"/>
      <c r="D47" s="311"/>
      <c r="E47" s="311"/>
      <c r="F47" s="380" t="s">
        <v>201</v>
      </c>
      <c r="G47" s="366"/>
      <c r="H47" s="322"/>
      <c r="I47" s="322"/>
      <c r="J47" s="323"/>
      <c r="K47" s="322"/>
      <c r="L47" s="324">
        <v>1</v>
      </c>
      <c r="M47" s="324"/>
      <c r="N47" s="324"/>
      <c r="O47" s="325"/>
      <c r="P47" s="324"/>
      <c r="Q47" s="325"/>
      <c r="R47" s="324"/>
      <c r="S47" s="325"/>
      <c r="T47" s="324"/>
      <c r="U47" s="325"/>
      <c r="V47" s="324"/>
      <c r="W47" s="325"/>
      <c r="X47" s="324"/>
      <c r="Y47" s="303"/>
      <c r="Z47" s="303"/>
      <c r="AA47" s="310"/>
    </row>
    <row r="48" spans="1:27" s="276" customFormat="1" ht="27" customHeight="1" x14ac:dyDescent="0.2">
      <c r="A48" s="281" t="s">
        <v>3</v>
      </c>
      <c r="B48" s="281"/>
      <c r="C48" s="281"/>
      <c r="D48" s="281"/>
      <c r="E48" s="281"/>
      <c r="F48" s="281"/>
      <c r="G48" s="281"/>
      <c r="H48" s="326">
        <f t="shared" ref="H48:X48" si="1">SUM(H31:H47)</f>
        <v>0</v>
      </c>
      <c r="I48" s="326">
        <f t="shared" si="1"/>
        <v>0</v>
      </c>
      <c r="J48" s="326">
        <f t="shared" si="1"/>
        <v>0</v>
      </c>
      <c r="K48" s="326">
        <f t="shared" si="1"/>
        <v>0</v>
      </c>
      <c r="L48" s="326">
        <f t="shared" si="1"/>
        <v>10</v>
      </c>
      <c r="M48" s="326">
        <f t="shared" si="1"/>
        <v>1.8833333333333333</v>
      </c>
      <c r="N48" s="326">
        <f t="shared" si="1"/>
        <v>0</v>
      </c>
      <c r="O48" s="326">
        <f t="shared" si="1"/>
        <v>0</v>
      </c>
      <c r="P48" s="326">
        <f t="shared" si="1"/>
        <v>0</v>
      </c>
      <c r="Q48" s="326">
        <f t="shared" si="1"/>
        <v>0</v>
      </c>
      <c r="R48" s="326">
        <f t="shared" si="1"/>
        <v>0</v>
      </c>
      <c r="S48" s="326">
        <f t="shared" si="1"/>
        <v>0</v>
      </c>
      <c r="T48" s="326">
        <f t="shared" si="1"/>
        <v>0</v>
      </c>
      <c r="U48" s="326">
        <f t="shared" si="1"/>
        <v>0</v>
      </c>
      <c r="V48" s="326">
        <f t="shared" si="1"/>
        <v>0</v>
      </c>
      <c r="W48" s="326">
        <f t="shared" si="1"/>
        <v>0</v>
      </c>
      <c r="X48" s="326">
        <f t="shared" si="1"/>
        <v>0</v>
      </c>
      <c r="Y48" s="296"/>
      <c r="Z48" s="296"/>
      <c r="AA48" s="296"/>
    </row>
    <row r="49" spans="1:27" s="276" customFormat="1" ht="27" customHeight="1" thickBot="1" x14ac:dyDescent="0.25">
      <c r="H49" s="327"/>
      <c r="I49" s="327"/>
      <c r="J49" s="327"/>
      <c r="K49" s="327"/>
      <c r="L49" s="328"/>
      <c r="M49" s="328"/>
      <c r="N49" s="328"/>
      <c r="O49" s="328"/>
      <c r="P49" s="328"/>
      <c r="Q49" s="328"/>
      <c r="R49" s="328"/>
      <c r="S49" s="328"/>
      <c r="T49" s="328"/>
      <c r="U49" s="328"/>
      <c r="V49" s="328"/>
      <c r="W49" s="328"/>
      <c r="X49" s="328"/>
      <c r="Y49" s="304"/>
      <c r="Z49" s="304"/>
      <c r="AA49" s="304"/>
    </row>
    <row r="50" spans="1:27" s="276" customFormat="1" ht="27" customHeight="1" thickBot="1" x14ac:dyDescent="0.25">
      <c r="A50" s="297" t="s">
        <v>169</v>
      </c>
      <c r="B50" s="285"/>
      <c r="C50" s="285"/>
      <c r="D50" s="285"/>
      <c r="E50" s="285"/>
      <c r="F50" s="285"/>
      <c r="G50" s="285"/>
      <c r="H50" s="369" t="s">
        <v>91</v>
      </c>
      <c r="I50" s="370"/>
      <c r="J50" s="370"/>
      <c r="K50" s="371"/>
      <c r="L50" s="372" t="s">
        <v>90</v>
      </c>
      <c r="M50" s="374" t="s">
        <v>157</v>
      </c>
      <c r="N50" s="374" t="s">
        <v>158</v>
      </c>
      <c r="O50" s="376" t="s">
        <v>159</v>
      </c>
      <c r="P50" s="377"/>
      <c r="Q50" s="378"/>
      <c r="R50" s="374" t="s">
        <v>160</v>
      </c>
      <c r="S50" s="376" t="s">
        <v>19</v>
      </c>
      <c r="T50" s="377"/>
      <c r="U50" s="378"/>
      <c r="V50" s="374" t="s">
        <v>124</v>
      </c>
      <c r="W50" s="374" t="s">
        <v>125</v>
      </c>
      <c r="X50" s="363" t="s">
        <v>105</v>
      </c>
      <c r="Y50" s="296" t="s">
        <v>161</v>
      </c>
      <c r="Z50" s="296"/>
      <c r="AA50" s="296" t="s">
        <v>162</v>
      </c>
    </row>
    <row r="51" spans="1:27" s="276" customFormat="1" ht="27" customHeight="1" thickBot="1" x14ac:dyDescent="0.25">
      <c r="A51" s="297" t="s">
        <v>171</v>
      </c>
      <c r="B51" s="285" t="s">
        <v>264</v>
      </c>
      <c r="C51" s="285"/>
      <c r="D51" s="285"/>
      <c r="E51" s="285"/>
      <c r="F51" s="285"/>
      <c r="G51" s="285"/>
      <c r="H51" s="282" t="s">
        <v>165</v>
      </c>
      <c r="I51" s="282" t="s">
        <v>93</v>
      </c>
      <c r="J51" s="282" t="s">
        <v>94</v>
      </c>
      <c r="K51" s="283" t="s">
        <v>166</v>
      </c>
      <c r="L51" s="373"/>
      <c r="M51" s="375"/>
      <c r="N51" s="375"/>
      <c r="O51" s="284" t="s">
        <v>167</v>
      </c>
      <c r="P51" s="284" t="s">
        <v>168</v>
      </c>
      <c r="Q51" s="315" t="s">
        <v>125</v>
      </c>
      <c r="R51" s="375"/>
      <c r="S51" s="284" t="s">
        <v>167</v>
      </c>
      <c r="T51" s="284" t="s">
        <v>168</v>
      </c>
      <c r="U51" s="315" t="s">
        <v>125</v>
      </c>
      <c r="V51" s="375"/>
      <c r="W51" s="375"/>
      <c r="X51" s="364"/>
      <c r="Y51" s="296" t="s">
        <v>163</v>
      </c>
      <c r="Z51" s="296" t="s">
        <v>164</v>
      </c>
      <c r="AA51" s="296"/>
    </row>
    <row r="52" spans="1:27" s="276" customFormat="1" ht="27" customHeight="1" x14ac:dyDescent="0.2">
      <c r="A52" s="293" t="s">
        <v>216</v>
      </c>
      <c r="B52" s="314">
        <v>0.3263888888888889</v>
      </c>
      <c r="C52" s="314">
        <v>0.71944444444444444</v>
      </c>
      <c r="D52" s="314"/>
      <c r="E52" s="314"/>
      <c r="F52" s="383" t="s">
        <v>201</v>
      </c>
      <c r="G52" s="365"/>
      <c r="H52" s="318"/>
      <c r="I52" s="318"/>
      <c r="J52" s="319"/>
      <c r="K52" s="318"/>
      <c r="L52" s="320">
        <v>1</v>
      </c>
      <c r="M52" s="320"/>
      <c r="N52" s="320"/>
      <c r="O52" s="321"/>
      <c r="P52" s="320"/>
      <c r="Q52" s="321"/>
      <c r="R52" s="320"/>
      <c r="S52" s="321"/>
      <c r="T52" s="320"/>
      <c r="U52" s="321"/>
      <c r="V52" s="320"/>
      <c r="W52" s="321"/>
      <c r="X52" s="320"/>
      <c r="Y52" s="298"/>
      <c r="Z52" s="298"/>
      <c r="AA52" s="309"/>
    </row>
    <row r="53" spans="1:27" s="276" customFormat="1" ht="27" customHeight="1" x14ac:dyDescent="0.2">
      <c r="A53" s="294" t="s">
        <v>218</v>
      </c>
      <c r="B53" s="313">
        <v>0.31944444444444448</v>
      </c>
      <c r="C53" s="313">
        <v>0.75416666666666676</v>
      </c>
      <c r="D53" s="311"/>
      <c r="E53" s="311"/>
      <c r="F53" s="380" t="s">
        <v>201</v>
      </c>
      <c r="G53" s="380"/>
      <c r="H53" s="322"/>
      <c r="I53" s="322"/>
      <c r="J53" s="323"/>
      <c r="K53" s="322"/>
      <c r="L53" s="324">
        <v>1</v>
      </c>
      <c r="M53" s="324"/>
      <c r="N53" s="324"/>
      <c r="O53" s="325"/>
      <c r="P53" s="324"/>
      <c r="Q53" s="325"/>
      <c r="R53" s="324"/>
      <c r="S53" s="325"/>
      <c r="T53" s="324"/>
      <c r="U53" s="325"/>
      <c r="V53" s="324"/>
      <c r="W53" s="325"/>
      <c r="X53" s="324"/>
      <c r="Y53" s="303"/>
      <c r="Z53" s="303"/>
      <c r="AA53" s="310"/>
    </row>
    <row r="54" spans="1:27" s="276" customFormat="1" ht="27" customHeight="1" x14ac:dyDescent="0.2">
      <c r="A54" s="293" t="s">
        <v>219</v>
      </c>
      <c r="B54" s="312"/>
      <c r="C54" s="312"/>
      <c r="D54" s="312"/>
      <c r="E54" s="312"/>
      <c r="F54" s="365" t="s">
        <v>173</v>
      </c>
      <c r="G54" s="365"/>
      <c r="H54" s="318"/>
      <c r="I54" s="318"/>
      <c r="J54" s="319"/>
      <c r="K54" s="318"/>
      <c r="L54" s="320"/>
      <c r="M54" s="320"/>
      <c r="N54" s="320"/>
      <c r="O54" s="321"/>
      <c r="P54" s="320"/>
      <c r="Q54" s="321"/>
      <c r="R54" s="320"/>
      <c r="S54" s="321"/>
      <c r="T54" s="320"/>
      <c r="U54" s="321"/>
      <c r="V54" s="320"/>
      <c r="W54" s="321"/>
      <c r="X54" s="320"/>
      <c r="Y54" s="302"/>
      <c r="Z54" s="302"/>
      <c r="AA54" s="309"/>
    </row>
    <row r="55" spans="1:27" s="276" customFormat="1" ht="27" customHeight="1" x14ac:dyDescent="0.2">
      <c r="A55" s="294" t="s">
        <v>220</v>
      </c>
      <c r="B55" s="313"/>
      <c r="C55" s="313"/>
      <c r="D55" s="313"/>
      <c r="E55" s="313"/>
      <c r="F55" s="366" t="s">
        <v>173</v>
      </c>
      <c r="G55" s="366"/>
      <c r="H55" s="322"/>
      <c r="I55" s="322"/>
      <c r="J55" s="323"/>
      <c r="K55" s="322"/>
      <c r="L55" s="324"/>
      <c r="M55" s="324"/>
      <c r="N55" s="324"/>
      <c r="O55" s="325"/>
      <c r="P55" s="324"/>
      <c r="Q55" s="325"/>
      <c r="R55" s="324"/>
      <c r="S55" s="325"/>
      <c r="T55" s="324"/>
      <c r="U55" s="325"/>
      <c r="V55" s="324"/>
      <c r="W55" s="325"/>
      <c r="X55" s="324"/>
      <c r="Y55" s="299"/>
      <c r="Z55" s="299"/>
      <c r="AA55" s="310"/>
    </row>
    <row r="56" spans="1:27" s="276" customFormat="1" ht="27" customHeight="1" x14ac:dyDescent="0.2">
      <c r="A56" s="293" t="s">
        <v>222</v>
      </c>
      <c r="B56" s="314">
        <v>0.3263888888888889</v>
      </c>
      <c r="C56" s="314">
        <v>0.71736111111111101</v>
      </c>
      <c r="D56" s="314"/>
      <c r="E56" s="314"/>
      <c r="F56" s="383" t="s">
        <v>201</v>
      </c>
      <c r="G56" s="365"/>
      <c r="H56" s="318"/>
      <c r="I56" s="318"/>
      <c r="J56" s="319"/>
      <c r="K56" s="318"/>
      <c r="L56" s="320">
        <v>1</v>
      </c>
      <c r="M56" s="320"/>
      <c r="N56" s="320"/>
      <c r="O56" s="321"/>
      <c r="P56" s="320"/>
      <c r="Q56" s="321"/>
      <c r="R56" s="320"/>
      <c r="S56" s="321"/>
      <c r="T56" s="320"/>
      <c r="U56" s="321"/>
      <c r="V56" s="320"/>
      <c r="W56" s="321"/>
      <c r="X56" s="320"/>
      <c r="Y56" s="298"/>
      <c r="Z56" s="298"/>
      <c r="AA56" s="309"/>
    </row>
    <row r="57" spans="1:27" s="276" customFormat="1" ht="27" customHeight="1" x14ac:dyDescent="0.2">
      <c r="A57" s="294" t="s">
        <v>223</v>
      </c>
      <c r="B57" s="311"/>
      <c r="C57" s="311"/>
      <c r="D57" s="311"/>
      <c r="E57" s="311"/>
      <c r="F57" s="366" t="s">
        <v>224</v>
      </c>
      <c r="G57" s="366"/>
      <c r="H57" s="322"/>
      <c r="I57" s="322"/>
      <c r="J57" s="323"/>
      <c r="K57" s="322"/>
      <c r="L57" s="324"/>
      <c r="M57" s="324"/>
      <c r="N57" s="324"/>
      <c r="O57" s="325"/>
      <c r="P57" s="324"/>
      <c r="Q57" s="325"/>
      <c r="R57" s="324"/>
      <c r="S57" s="325"/>
      <c r="T57" s="324"/>
      <c r="U57" s="325"/>
      <c r="V57" s="324"/>
      <c r="W57" s="325"/>
      <c r="X57" s="324"/>
      <c r="Y57" s="303"/>
      <c r="Z57" s="303"/>
      <c r="AA57" s="310"/>
    </row>
    <row r="58" spans="1:27" s="276" customFormat="1" ht="27" customHeight="1" x14ac:dyDescent="0.2">
      <c r="A58" s="293" t="s">
        <v>225</v>
      </c>
      <c r="B58" s="312"/>
      <c r="C58" s="312"/>
      <c r="D58" s="312"/>
      <c r="E58" s="312"/>
      <c r="F58" s="365" t="s">
        <v>224</v>
      </c>
      <c r="G58" s="365"/>
      <c r="H58" s="318"/>
      <c r="I58" s="318"/>
      <c r="J58" s="319"/>
      <c r="K58" s="318"/>
      <c r="L58" s="320"/>
      <c r="M58" s="320"/>
      <c r="N58" s="320"/>
      <c r="O58" s="321"/>
      <c r="P58" s="320"/>
      <c r="Q58" s="321"/>
      <c r="R58" s="320"/>
      <c r="S58" s="321"/>
      <c r="T58" s="320"/>
      <c r="U58" s="321"/>
      <c r="V58" s="320"/>
      <c r="W58" s="321"/>
      <c r="X58" s="320"/>
      <c r="Y58" s="302"/>
      <c r="Z58" s="302"/>
      <c r="AA58" s="309"/>
    </row>
    <row r="59" spans="1:27" s="276" customFormat="1" ht="27" customHeight="1" x14ac:dyDescent="0.2">
      <c r="A59" s="294" t="s">
        <v>226</v>
      </c>
      <c r="B59" s="313">
        <v>0.34652777777777777</v>
      </c>
      <c r="C59" s="313">
        <v>0.7284722222222223</v>
      </c>
      <c r="D59" s="313"/>
      <c r="E59" s="313"/>
      <c r="F59" s="380" t="s">
        <v>201</v>
      </c>
      <c r="G59" s="366"/>
      <c r="H59" s="322"/>
      <c r="I59" s="322"/>
      <c r="J59" s="323"/>
      <c r="K59" s="322"/>
      <c r="L59" s="324">
        <v>1</v>
      </c>
      <c r="M59" s="324">
        <f>19/60</f>
        <v>0.31666666666666665</v>
      </c>
      <c r="N59" s="324"/>
      <c r="O59" s="325"/>
      <c r="P59" s="324"/>
      <c r="Q59" s="325"/>
      <c r="R59" s="324"/>
      <c r="S59" s="325"/>
      <c r="T59" s="324"/>
      <c r="U59" s="325"/>
      <c r="V59" s="324"/>
      <c r="W59" s="325"/>
      <c r="X59" s="324"/>
      <c r="Y59" s="299"/>
      <c r="Z59" s="299"/>
      <c r="AA59" s="310"/>
    </row>
    <row r="60" spans="1:27" s="276" customFormat="1" ht="27" customHeight="1" x14ac:dyDescent="0.2">
      <c r="A60" s="293" t="s">
        <v>228</v>
      </c>
      <c r="B60" s="314">
        <v>0.33263888888888887</v>
      </c>
      <c r="C60" s="314">
        <v>0.71944444444444444</v>
      </c>
      <c r="D60" s="314"/>
      <c r="E60" s="314"/>
      <c r="F60" s="383" t="s">
        <v>201</v>
      </c>
      <c r="G60" s="365"/>
      <c r="H60" s="318"/>
      <c r="I60" s="318"/>
      <c r="J60" s="319"/>
      <c r="K60" s="318"/>
      <c r="L60" s="320">
        <v>1</v>
      </c>
      <c r="M60" s="320"/>
      <c r="N60" s="320"/>
      <c r="O60" s="321"/>
      <c r="P60" s="320"/>
      <c r="Q60" s="321"/>
      <c r="R60" s="320"/>
      <c r="S60" s="321"/>
      <c r="T60" s="320"/>
      <c r="U60" s="321"/>
      <c r="V60" s="320"/>
      <c r="W60" s="321"/>
      <c r="X60" s="320"/>
      <c r="Y60" s="298"/>
      <c r="Z60" s="298"/>
      <c r="AA60" s="309"/>
    </row>
    <row r="61" spans="1:27" s="276" customFormat="1" ht="27" customHeight="1" x14ac:dyDescent="0.2">
      <c r="A61" s="294" t="s">
        <v>229</v>
      </c>
      <c r="B61" s="311"/>
      <c r="C61" s="311"/>
      <c r="D61" s="311"/>
      <c r="E61" s="311"/>
      <c r="F61" s="366" t="s">
        <v>173</v>
      </c>
      <c r="G61" s="366"/>
      <c r="H61" s="322"/>
      <c r="I61" s="322"/>
      <c r="J61" s="323"/>
      <c r="K61" s="322"/>
      <c r="L61" s="324"/>
      <c r="M61" s="324"/>
      <c r="N61" s="324"/>
      <c r="O61" s="325"/>
      <c r="P61" s="324"/>
      <c r="Q61" s="325"/>
      <c r="R61" s="324"/>
      <c r="S61" s="325"/>
      <c r="T61" s="324"/>
      <c r="U61" s="325"/>
      <c r="V61" s="324"/>
      <c r="W61" s="325"/>
      <c r="X61" s="324"/>
      <c r="Y61" s="303"/>
      <c r="Z61" s="303"/>
      <c r="AA61" s="310"/>
    </row>
    <row r="62" spans="1:27" s="276" customFormat="1" ht="27" customHeight="1" x14ac:dyDescent="0.2">
      <c r="A62" s="293" t="s">
        <v>231</v>
      </c>
      <c r="B62" s="312"/>
      <c r="C62" s="312"/>
      <c r="D62" s="312"/>
      <c r="E62" s="312"/>
      <c r="F62" s="365" t="s">
        <v>173</v>
      </c>
      <c r="G62" s="365"/>
      <c r="H62" s="318"/>
      <c r="I62" s="318"/>
      <c r="J62" s="319"/>
      <c r="K62" s="318"/>
      <c r="L62" s="320"/>
      <c r="M62" s="320"/>
      <c r="N62" s="320"/>
      <c r="O62" s="321"/>
      <c r="P62" s="320"/>
      <c r="Q62" s="321"/>
      <c r="R62" s="320"/>
      <c r="S62" s="321"/>
      <c r="T62" s="320"/>
      <c r="U62" s="321"/>
      <c r="V62" s="320"/>
      <c r="W62" s="321"/>
      <c r="X62" s="320"/>
      <c r="Y62" s="302"/>
      <c r="Z62" s="302"/>
      <c r="AA62" s="309"/>
    </row>
    <row r="63" spans="1:27" s="276" customFormat="1" ht="27" customHeight="1" x14ac:dyDescent="0.2">
      <c r="A63" s="294" t="s">
        <v>232</v>
      </c>
      <c r="B63" s="313">
        <v>0.32777777777777778</v>
      </c>
      <c r="C63" s="313">
        <v>0.72013888888888899</v>
      </c>
      <c r="D63" s="313"/>
      <c r="E63" s="313"/>
      <c r="F63" s="380" t="s">
        <v>201</v>
      </c>
      <c r="G63" s="366"/>
      <c r="H63" s="322"/>
      <c r="I63" s="322"/>
      <c r="J63" s="323"/>
      <c r="K63" s="322"/>
      <c r="L63" s="324">
        <v>1</v>
      </c>
      <c r="M63" s="324"/>
      <c r="N63" s="324"/>
      <c r="O63" s="325"/>
      <c r="P63" s="324"/>
      <c r="Q63" s="325"/>
      <c r="R63" s="324"/>
      <c r="S63" s="325"/>
      <c r="T63" s="324"/>
      <c r="U63" s="325"/>
      <c r="V63" s="324"/>
      <c r="W63" s="325"/>
      <c r="X63" s="324"/>
      <c r="Y63" s="299"/>
      <c r="Z63" s="299"/>
      <c r="AA63" s="310"/>
    </row>
    <row r="64" spans="1:27" s="276" customFormat="1" ht="27" customHeight="1" x14ac:dyDescent="0.2">
      <c r="A64" s="293" t="s">
        <v>233</v>
      </c>
      <c r="B64" s="314">
        <v>0.3354166666666667</v>
      </c>
      <c r="C64" s="312"/>
      <c r="D64" s="312"/>
      <c r="E64" s="312"/>
      <c r="F64" s="383" t="s">
        <v>201</v>
      </c>
      <c r="G64" s="365"/>
      <c r="H64" s="318"/>
      <c r="I64" s="318"/>
      <c r="J64" s="319"/>
      <c r="K64" s="318"/>
      <c r="L64" s="320">
        <v>1</v>
      </c>
      <c r="M64" s="320"/>
      <c r="N64" s="320"/>
      <c r="O64" s="321"/>
      <c r="P64" s="320"/>
      <c r="Q64" s="321"/>
      <c r="R64" s="320"/>
      <c r="S64" s="321"/>
      <c r="T64" s="320"/>
      <c r="U64" s="321"/>
      <c r="V64" s="320"/>
      <c r="W64" s="321"/>
      <c r="X64" s="320"/>
      <c r="Y64" s="302"/>
      <c r="Z64" s="302"/>
      <c r="AA64" s="309"/>
    </row>
    <row r="65" spans="1:27" s="276" customFormat="1" ht="27" customHeight="1" x14ac:dyDescent="0.2">
      <c r="A65" s="294" t="s">
        <v>234</v>
      </c>
      <c r="B65" s="311"/>
      <c r="C65" s="311"/>
      <c r="D65" s="311"/>
      <c r="E65" s="311"/>
      <c r="F65" s="380" t="s">
        <v>201</v>
      </c>
      <c r="G65" s="366"/>
      <c r="H65" s="322"/>
      <c r="I65" s="322"/>
      <c r="J65" s="323"/>
      <c r="K65" s="322"/>
      <c r="L65" s="324">
        <v>1</v>
      </c>
      <c r="M65" s="324"/>
      <c r="N65" s="324"/>
      <c r="O65" s="325"/>
      <c r="P65" s="324"/>
      <c r="Q65" s="325"/>
      <c r="R65" s="324"/>
      <c r="S65" s="325"/>
      <c r="T65" s="324"/>
      <c r="U65" s="325"/>
      <c r="V65" s="324"/>
      <c r="W65" s="325"/>
      <c r="X65" s="324"/>
      <c r="Y65" s="303"/>
      <c r="Z65" s="303"/>
      <c r="AA65" s="310"/>
    </row>
    <row r="66" spans="1:27" s="276" customFormat="1" ht="27" customHeight="1" x14ac:dyDescent="0.2">
      <c r="A66" s="293" t="s">
        <v>236</v>
      </c>
      <c r="B66" s="312"/>
      <c r="C66" s="312"/>
      <c r="D66" s="312"/>
      <c r="E66" s="312"/>
      <c r="F66" s="383" t="s">
        <v>201</v>
      </c>
      <c r="G66" s="365"/>
      <c r="H66" s="318"/>
      <c r="I66" s="318"/>
      <c r="J66" s="319"/>
      <c r="K66" s="318"/>
      <c r="L66" s="320">
        <v>1</v>
      </c>
      <c r="M66" s="320"/>
      <c r="N66" s="320"/>
      <c r="O66" s="321"/>
      <c r="P66" s="320"/>
      <c r="Q66" s="321"/>
      <c r="R66" s="320"/>
      <c r="S66" s="321"/>
      <c r="T66" s="320"/>
      <c r="U66" s="321"/>
      <c r="V66" s="320"/>
      <c r="W66" s="321"/>
      <c r="X66" s="320"/>
      <c r="Y66" s="302"/>
      <c r="Z66" s="302"/>
      <c r="AA66" s="309"/>
    </row>
    <row r="67" spans="1:27" s="276" customFormat="1" ht="27" customHeight="1" x14ac:dyDescent="0.2">
      <c r="A67" s="294" t="s">
        <v>237</v>
      </c>
      <c r="B67" s="311"/>
      <c r="C67" s="311"/>
      <c r="D67" s="311"/>
      <c r="E67" s="311"/>
      <c r="F67" s="380" t="s">
        <v>201</v>
      </c>
      <c r="G67" s="366"/>
      <c r="H67" s="322"/>
      <c r="I67" s="322"/>
      <c r="J67" s="323"/>
      <c r="K67" s="322"/>
      <c r="L67" s="324">
        <v>1</v>
      </c>
      <c r="M67" s="324"/>
      <c r="N67" s="324"/>
      <c r="O67" s="325"/>
      <c r="P67" s="324"/>
      <c r="Q67" s="325"/>
      <c r="R67" s="324"/>
      <c r="S67" s="325"/>
      <c r="T67" s="324"/>
      <c r="U67" s="325"/>
      <c r="V67" s="324"/>
      <c r="W67" s="325"/>
      <c r="X67" s="324"/>
      <c r="Y67" s="303"/>
      <c r="Z67" s="303"/>
      <c r="AA67" s="310"/>
    </row>
    <row r="68" spans="1:27" s="276" customFormat="1" ht="27" customHeight="1" x14ac:dyDescent="0.2">
      <c r="A68" s="281" t="s">
        <v>3</v>
      </c>
      <c r="B68" s="281"/>
      <c r="C68" s="281"/>
      <c r="D68" s="281"/>
      <c r="E68" s="281"/>
      <c r="F68" s="281"/>
      <c r="G68" s="281"/>
      <c r="H68" s="326">
        <f>SUM(H51:H67)</f>
        <v>0</v>
      </c>
      <c r="I68" s="326">
        <f t="shared" ref="I68:X68" si="2">SUM(I51:I67)</f>
        <v>0</v>
      </c>
      <c r="J68" s="326">
        <f t="shared" si="2"/>
        <v>0</v>
      </c>
      <c r="K68" s="326">
        <f t="shared" si="2"/>
        <v>0</v>
      </c>
      <c r="L68" s="326">
        <f t="shared" si="2"/>
        <v>10</v>
      </c>
      <c r="M68" s="326">
        <f t="shared" si="2"/>
        <v>0.31666666666666665</v>
      </c>
      <c r="N68" s="326">
        <f t="shared" si="2"/>
        <v>0</v>
      </c>
      <c r="O68" s="326">
        <f t="shared" si="2"/>
        <v>0</v>
      </c>
      <c r="P68" s="326">
        <f t="shared" si="2"/>
        <v>0</v>
      </c>
      <c r="Q68" s="326">
        <f t="shared" si="2"/>
        <v>0</v>
      </c>
      <c r="R68" s="326">
        <f t="shared" si="2"/>
        <v>0</v>
      </c>
      <c r="S68" s="326">
        <f t="shared" si="2"/>
        <v>0</v>
      </c>
      <c r="T68" s="326">
        <f t="shared" si="2"/>
        <v>0</v>
      </c>
      <c r="U68" s="326">
        <f t="shared" si="2"/>
        <v>0</v>
      </c>
      <c r="V68" s="326">
        <f t="shared" si="2"/>
        <v>0</v>
      </c>
      <c r="W68" s="326">
        <f t="shared" si="2"/>
        <v>0</v>
      </c>
      <c r="X68" s="326">
        <f t="shared" si="2"/>
        <v>0</v>
      </c>
      <c r="Y68" s="296"/>
      <c r="Z68" s="296"/>
      <c r="AA68" s="296"/>
    </row>
    <row r="69" spans="1:27" ht="27" customHeight="1" x14ac:dyDescent="0.25"/>
    <row r="70" spans="1:27" ht="27" customHeight="1" x14ac:dyDescent="0.25"/>
    <row r="71" spans="1:27" ht="27" customHeight="1" x14ac:dyDescent="0.25"/>
  </sheetData>
  <mergeCells count="73">
    <mergeCell ref="F65:G65"/>
    <mergeCell ref="F66:G66"/>
    <mergeCell ref="F67:G67"/>
    <mergeCell ref="F59:G59"/>
    <mergeCell ref="F60:G60"/>
    <mergeCell ref="F61:G61"/>
    <mergeCell ref="F62:G62"/>
    <mergeCell ref="F63:G63"/>
    <mergeCell ref="F64:G64"/>
    <mergeCell ref="F58:G58"/>
    <mergeCell ref="R50:R51"/>
    <mergeCell ref="S50:U50"/>
    <mergeCell ref="V50:V51"/>
    <mergeCell ref="W50:W51"/>
    <mergeCell ref="F53:G53"/>
    <mergeCell ref="F54:G54"/>
    <mergeCell ref="F55:G55"/>
    <mergeCell ref="F56:G56"/>
    <mergeCell ref="F57:G57"/>
    <mergeCell ref="X50:X51"/>
    <mergeCell ref="F52:G52"/>
    <mergeCell ref="F47:G47"/>
    <mergeCell ref="H50:K50"/>
    <mergeCell ref="L50:L51"/>
    <mergeCell ref="M50:M51"/>
    <mergeCell ref="N50:N51"/>
    <mergeCell ref="O50:Q50"/>
    <mergeCell ref="F46:G46"/>
    <mergeCell ref="F35:G35"/>
    <mergeCell ref="F36:G36"/>
    <mergeCell ref="F37:G37"/>
    <mergeCell ref="F38:G38"/>
    <mergeCell ref="F39:G39"/>
    <mergeCell ref="F40:G40"/>
    <mergeCell ref="F41:G41"/>
    <mergeCell ref="F42:G42"/>
    <mergeCell ref="F43:G43"/>
    <mergeCell ref="F44:G44"/>
    <mergeCell ref="F45:G45"/>
    <mergeCell ref="V30:V31"/>
    <mergeCell ref="W30:W31"/>
    <mergeCell ref="X30:X31"/>
    <mergeCell ref="F32:G32"/>
    <mergeCell ref="F33:G33"/>
    <mergeCell ref="R30:R31"/>
    <mergeCell ref="S30:U30"/>
    <mergeCell ref="F34:G34"/>
    <mergeCell ref="L30:L31"/>
    <mergeCell ref="M30:M31"/>
    <mergeCell ref="N30:N31"/>
    <mergeCell ref="O30:Q30"/>
    <mergeCell ref="H30:K30"/>
    <mergeCell ref="F17:G17"/>
    <mergeCell ref="F22:G22"/>
    <mergeCell ref="F25:G25"/>
    <mergeCell ref="F26:G26"/>
    <mergeCell ref="F27:G27"/>
    <mergeCell ref="F14:G14"/>
    <mergeCell ref="F16:G16"/>
    <mergeCell ref="S5:U5"/>
    <mergeCell ref="V5:V6"/>
    <mergeCell ref="W5:W6"/>
    <mergeCell ref="X5:X6"/>
    <mergeCell ref="A1:AA1"/>
    <mergeCell ref="A2:AA2"/>
    <mergeCell ref="A3:AA3"/>
    <mergeCell ref="H4:X4"/>
    <mergeCell ref="H5:K5"/>
    <mergeCell ref="L5:L6"/>
    <mergeCell ref="M5:M6"/>
    <mergeCell ref="N5:N6"/>
    <mergeCell ref="O5:Q5"/>
    <mergeCell ref="R5:R6"/>
  </mergeCells>
  <pageMargins left="0.75" right="0.75" top="1" bottom="1" header="0.5" footer="0.5"/>
  <pageSetup paperSize="9" orientation="portrait" horizontalDpi="4294967293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006600"/>
  </sheetPr>
  <dimension ref="A1:Z67"/>
  <sheetViews>
    <sheetView tabSelected="1" workbookViewId="0">
      <pane xSplit="2" topLeftCell="C1" activePane="topRight" state="frozen"/>
      <selection pane="topRight" activeCell="F12" sqref="F12"/>
    </sheetView>
  </sheetViews>
  <sheetFormatPr defaultColWidth="9.140625" defaultRowHeight="12.75" x14ac:dyDescent="0.2"/>
  <cols>
    <col min="1" max="1" width="4.140625" style="126" customWidth="1"/>
    <col min="2" max="2" width="15.7109375" style="126" customWidth="1"/>
    <col min="3" max="3" width="13.85546875" style="126" customWidth="1"/>
    <col min="4" max="4" width="10.28515625" style="126" customWidth="1"/>
    <col min="5" max="5" width="9.42578125" style="126" bestFit="1" customWidth="1"/>
    <col min="6" max="6" width="8.140625" style="126" customWidth="1"/>
    <col min="7" max="7" width="11.28515625" style="126" bestFit="1" customWidth="1"/>
    <col min="8" max="8" width="10.28515625" style="126" bestFit="1" customWidth="1"/>
    <col min="9" max="9" width="10.28515625" style="126" customWidth="1"/>
    <col min="10" max="10" width="9.28515625" style="126" customWidth="1"/>
    <col min="11" max="11" width="8.140625" style="126" customWidth="1"/>
    <col min="12" max="12" width="8.28515625" style="126" customWidth="1"/>
    <col min="13" max="13" width="9.7109375" style="126" customWidth="1"/>
    <col min="14" max="14" width="12" style="126" customWidth="1"/>
    <col min="15" max="15" width="9.7109375" style="126" customWidth="1"/>
    <col min="16" max="16" width="10.28515625" style="126" bestFit="1" customWidth="1"/>
    <col min="17" max="17" width="9.7109375" style="126" customWidth="1"/>
    <col min="18" max="18" width="10.140625" style="126" bestFit="1" customWidth="1"/>
    <col min="19" max="19" width="10.28515625" style="126" customWidth="1"/>
    <col min="20" max="20" width="9.42578125" style="126" bestFit="1" customWidth="1"/>
    <col min="21" max="21" width="10" style="126" customWidth="1"/>
    <col min="22" max="22" width="10.28515625" style="126" customWidth="1"/>
    <col min="23" max="23" width="11.7109375" style="126" customWidth="1"/>
    <col min="24" max="24" width="10.42578125" style="126" customWidth="1"/>
    <col min="25" max="25" width="9.140625" style="126" customWidth="1"/>
    <col min="26" max="26" width="8.7109375" style="126" customWidth="1"/>
    <col min="27" max="16384" width="9.140625" style="126"/>
  </cols>
  <sheetData>
    <row r="1" spans="1:26" s="124" customFormat="1" ht="15.75" x14ac:dyDescent="0.25">
      <c r="A1" s="238" t="s">
        <v>106</v>
      </c>
      <c r="B1" s="238"/>
      <c r="C1" s="239"/>
    </row>
    <row r="2" spans="1:26" s="124" customFormat="1" ht="15.75" x14ac:dyDescent="0.25">
      <c r="A2" s="240" t="s">
        <v>12</v>
      </c>
      <c r="B2" s="240"/>
      <c r="C2" s="241"/>
      <c r="D2" s="125" t="s">
        <v>119</v>
      </c>
      <c r="E2" s="125"/>
      <c r="F2" s="125"/>
    </row>
    <row r="3" spans="1:26" s="124" customFormat="1" ht="15.75" x14ac:dyDescent="0.25">
      <c r="A3" s="238" t="s">
        <v>11</v>
      </c>
      <c r="B3" s="238"/>
      <c r="C3" s="241"/>
      <c r="D3" s="125" t="s">
        <v>309</v>
      </c>
      <c r="E3" s="125"/>
      <c r="F3" s="125"/>
    </row>
    <row r="4" spans="1:26" ht="13.5" thickBot="1" x14ac:dyDescent="0.25">
      <c r="C4" s="127"/>
      <c r="Q4" s="128"/>
      <c r="S4" s="128"/>
    </row>
    <row r="5" spans="1:26" s="138" customFormat="1" ht="11.25" customHeight="1" x14ac:dyDescent="0.2">
      <c r="A5" s="433"/>
      <c r="B5" s="435" t="s">
        <v>0</v>
      </c>
      <c r="C5" s="406" t="s">
        <v>1</v>
      </c>
      <c r="D5" s="385" t="s">
        <v>13</v>
      </c>
      <c r="E5" s="406" t="s">
        <v>14</v>
      </c>
      <c r="F5" s="385"/>
      <c r="G5" s="406" t="s">
        <v>16</v>
      </c>
      <c r="H5" s="385" t="s">
        <v>44</v>
      </c>
      <c r="I5" s="402" t="s">
        <v>118</v>
      </c>
      <c r="J5" s="410" t="s">
        <v>91</v>
      </c>
      <c r="K5" s="411"/>
      <c r="L5" s="412"/>
      <c r="M5" s="422" t="s">
        <v>108</v>
      </c>
      <c r="N5" s="423"/>
      <c r="O5" s="423"/>
      <c r="P5" s="406" t="s">
        <v>2</v>
      </c>
      <c r="Q5" s="385" t="s">
        <v>17</v>
      </c>
      <c r="R5" s="406" t="s">
        <v>2</v>
      </c>
      <c r="S5" s="385" t="s">
        <v>18</v>
      </c>
      <c r="T5" s="406" t="s">
        <v>2</v>
      </c>
      <c r="U5" s="385" t="s">
        <v>19</v>
      </c>
      <c r="V5" s="406" t="s">
        <v>2</v>
      </c>
      <c r="W5" s="385" t="s">
        <v>300</v>
      </c>
      <c r="X5" s="387" t="s">
        <v>3</v>
      </c>
    </row>
    <row r="6" spans="1:26" s="138" customFormat="1" ht="27" customHeight="1" thickBot="1" x14ac:dyDescent="0.25">
      <c r="A6" s="434"/>
      <c r="B6" s="407"/>
      <c r="C6" s="407"/>
      <c r="D6" s="421"/>
      <c r="E6" s="426"/>
      <c r="F6" s="421"/>
      <c r="G6" s="426"/>
      <c r="H6" s="386"/>
      <c r="I6" s="403"/>
      <c r="J6" s="242" t="s">
        <v>92</v>
      </c>
      <c r="K6" s="242" t="s">
        <v>93</v>
      </c>
      <c r="L6" s="242" t="s">
        <v>94</v>
      </c>
      <c r="M6" s="243" t="s">
        <v>109</v>
      </c>
      <c r="N6" s="243" t="s">
        <v>17</v>
      </c>
      <c r="O6" s="243" t="s">
        <v>18</v>
      </c>
      <c r="P6" s="407"/>
      <c r="Q6" s="421"/>
      <c r="R6" s="407"/>
      <c r="S6" s="421"/>
      <c r="T6" s="407"/>
      <c r="U6" s="421"/>
      <c r="V6" s="407"/>
      <c r="W6" s="386"/>
      <c r="X6" s="388"/>
    </row>
    <row r="7" spans="1:26" s="138" customFormat="1" ht="12" customHeight="1" thickBot="1" x14ac:dyDescent="0.25">
      <c r="A7" s="129">
        <v>1</v>
      </c>
      <c r="B7" s="22" t="s">
        <v>120</v>
      </c>
      <c r="C7" s="123" t="s">
        <v>266</v>
      </c>
      <c r="D7" s="73">
        <v>6851</v>
      </c>
      <c r="E7" s="130">
        <v>527</v>
      </c>
      <c r="F7" s="351">
        <v>6</v>
      </c>
      <c r="G7" s="141">
        <f t="shared" ref="G7:G8" si="0">E7*F7</f>
        <v>3162</v>
      </c>
      <c r="H7" s="20">
        <f>(F7+J7+K7+L7+Q7)*10</f>
        <v>60</v>
      </c>
      <c r="I7" s="20"/>
      <c r="J7" s="133">
        <v>0</v>
      </c>
      <c r="K7" s="133">
        <f>+'10.26-11.10'!I25</f>
        <v>0</v>
      </c>
      <c r="L7" s="133">
        <v>0</v>
      </c>
      <c r="M7" s="133">
        <f>+'10.26-11.10'!O25</f>
        <v>0</v>
      </c>
      <c r="N7" s="133">
        <f>+'10.26-11.10'!P25</f>
        <v>0</v>
      </c>
      <c r="O7" s="133">
        <f>+'10.26-11.10'!Q25</f>
        <v>0</v>
      </c>
      <c r="P7" s="233">
        <f>(((E7/8)*1.25)*M7)+((((E7/8)*N7)*200%)*130%)+((((E7/8)*130%)*130%)*O7)</f>
        <v>0</v>
      </c>
      <c r="Q7" s="134"/>
      <c r="R7" s="135">
        <f>+Q7*E7</f>
        <v>0</v>
      </c>
      <c r="S7" s="134">
        <f>+'10.26-11.10'!W25</f>
        <v>0</v>
      </c>
      <c r="T7" s="135">
        <f>(+S7*E7)*0.3</f>
        <v>0</v>
      </c>
      <c r="U7" s="353"/>
      <c r="V7" s="21"/>
      <c r="W7" s="133"/>
      <c r="X7" s="137">
        <f t="shared" ref="X7:X13" si="1">+G7+H7+P7+R7+T7+V7+W7+I7</f>
        <v>3222</v>
      </c>
      <c r="Y7" s="142"/>
      <c r="Z7" s="142"/>
    </row>
    <row r="8" spans="1:26" s="138" customFormat="1" ht="12" customHeight="1" thickBot="1" x14ac:dyDescent="0.25">
      <c r="A8" s="139">
        <v>2</v>
      </c>
      <c r="B8" s="22" t="s">
        <v>149</v>
      </c>
      <c r="C8" s="72" t="s">
        <v>150</v>
      </c>
      <c r="D8" s="73">
        <v>6851</v>
      </c>
      <c r="E8" s="130">
        <v>527</v>
      </c>
      <c r="F8" s="352">
        <v>3</v>
      </c>
      <c r="G8" s="141">
        <f t="shared" si="0"/>
        <v>1581</v>
      </c>
      <c r="H8" s="20">
        <f>(F8+J8+K8+L8+Q8)*10</f>
        <v>30</v>
      </c>
      <c r="I8" s="21"/>
      <c r="J8" s="352">
        <v>0</v>
      </c>
      <c r="K8" s="73">
        <f>+'10.26-11.10'!I229</f>
        <v>0</v>
      </c>
      <c r="L8" s="73">
        <f>+'10.26-11.10'!J229</f>
        <v>0</v>
      </c>
      <c r="M8" s="73">
        <v>0</v>
      </c>
      <c r="N8" s="73">
        <v>0</v>
      </c>
      <c r="O8" s="73">
        <f>+'10.26-11.10'!Q229</f>
        <v>0</v>
      </c>
      <c r="P8" s="233">
        <f>(((E8/8)*1.25)*M8)+((((E8/8)*N8)*200%)*130%)+((((E8/8)*130%)*130%)*O8)</f>
        <v>0</v>
      </c>
      <c r="Q8" s="73"/>
      <c r="R8" s="21">
        <f>+Q8*E8</f>
        <v>0</v>
      </c>
      <c r="S8" s="73">
        <v>0</v>
      </c>
      <c r="T8" s="21">
        <f>(+S8*E8)*0.3</f>
        <v>0</v>
      </c>
      <c r="U8" s="352"/>
      <c r="V8" s="21"/>
      <c r="W8" s="73"/>
      <c r="X8" s="137">
        <f>+G8+H8+P8+R8+T8+V8+W8+I8</f>
        <v>1611</v>
      </c>
      <c r="Y8" s="142"/>
      <c r="Z8" s="142"/>
    </row>
    <row r="9" spans="1:26" s="138" customFormat="1" ht="12" customHeight="1" thickBot="1" x14ac:dyDescent="0.25">
      <c r="A9" s="139">
        <v>3</v>
      </c>
      <c r="B9" s="22" t="s">
        <v>121</v>
      </c>
      <c r="C9" s="72" t="s">
        <v>122</v>
      </c>
      <c r="D9" s="73">
        <f>(20000/2)+(21*13)</f>
        <v>10273</v>
      </c>
      <c r="E9" s="130">
        <f>+D9/13</f>
        <v>790.23076923076928</v>
      </c>
      <c r="F9" s="352">
        <v>0</v>
      </c>
      <c r="G9" s="141">
        <f>E9*F9</f>
        <v>0</v>
      </c>
      <c r="H9" s="20">
        <f t="shared" ref="H9:H14" si="2">(F9+J9+K9+L9+Q9)*10</f>
        <v>0</v>
      </c>
      <c r="I9" s="21"/>
      <c r="J9" s="73">
        <v>0</v>
      </c>
      <c r="K9" s="73">
        <v>0</v>
      </c>
      <c r="L9" s="73">
        <v>0</v>
      </c>
      <c r="M9" s="73">
        <v>0</v>
      </c>
      <c r="N9" s="73">
        <f>+'10.26-11.10'!P71</f>
        <v>0</v>
      </c>
      <c r="O9" s="73">
        <f>+'10.26-11.10'!Q71</f>
        <v>0</v>
      </c>
      <c r="P9" s="233">
        <f t="shared" ref="P9:P16" si="3">(((E9/8)*1.25)*M9)+((((E9/8)*N9)*200%)*130%)+((((E9/8)*130%)*130%)*O9)</f>
        <v>0</v>
      </c>
      <c r="Q9" s="73"/>
      <c r="R9" s="21">
        <f t="shared" ref="R9:R16" si="4">+Q9*E9</f>
        <v>0</v>
      </c>
      <c r="S9" s="73">
        <f>+'10.26-11.10'!W71</f>
        <v>0</v>
      </c>
      <c r="T9" s="21">
        <f t="shared" ref="T9:T16" si="5">(+S9*E9)*0.3</f>
        <v>0</v>
      </c>
      <c r="U9" s="352"/>
      <c r="V9" s="21"/>
      <c r="W9" s="73"/>
      <c r="X9" s="137">
        <f t="shared" si="1"/>
        <v>0</v>
      </c>
      <c r="Y9" s="142"/>
      <c r="Z9" s="142"/>
    </row>
    <row r="10" spans="1:26" s="138" customFormat="1" ht="12" customHeight="1" thickBot="1" x14ac:dyDescent="0.25">
      <c r="A10" s="139">
        <v>4</v>
      </c>
      <c r="B10" s="22" t="s">
        <v>123</v>
      </c>
      <c r="C10" s="72" t="s">
        <v>265</v>
      </c>
      <c r="D10" s="73">
        <v>6851</v>
      </c>
      <c r="E10" s="130">
        <v>527</v>
      </c>
      <c r="F10" s="352">
        <v>6</v>
      </c>
      <c r="G10" s="141">
        <f>E10*F10</f>
        <v>3162</v>
      </c>
      <c r="H10" s="20">
        <f t="shared" ref="H10" si="6">(F10+J10+K10+L10+Q10)*10</f>
        <v>60</v>
      </c>
      <c r="I10" s="21"/>
      <c r="J10" s="73">
        <v>0</v>
      </c>
      <c r="K10" s="73">
        <v>0</v>
      </c>
      <c r="L10" s="73">
        <v>0</v>
      </c>
      <c r="M10" s="73">
        <v>0</v>
      </c>
      <c r="N10" s="73">
        <f>+'10.26-11.10'!P250</f>
        <v>0</v>
      </c>
      <c r="O10" s="73">
        <f>+'10.26-11.10'!Q250</f>
        <v>0</v>
      </c>
      <c r="P10" s="233">
        <f t="shared" si="3"/>
        <v>0</v>
      </c>
      <c r="Q10" s="73"/>
      <c r="R10" s="21">
        <f t="shared" si="4"/>
        <v>0</v>
      </c>
      <c r="S10" s="73">
        <v>0</v>
      </c>
      <c r="T10" s="21">
        <f t="shared" si="5"/>
        <v>0</v>
      </c>
      <c r="U10" s="352"/>
      <c r="V10" s="21"/>
      <c r="W10" s="73"/>
      <c r="X10" s="137">
        <f t="shared" si="1"/>
        <v>3222</v>
      </c>
      <c r="Y10" s="142"/>
      <c r="Z10" s="142"/>
    </row>
    <row r="11" spans="1:26" s="138" customFormat="1" ht="12" thickBot="1" x14ac:dyDescent="0.25">
      <c r="A11" s="139">
        <v>5</v>
      </c>
      <c r="B11" s="22" t="s">
        <v>272</v>
      </c>
      <c r="C11" s="72" t="s">
        <v>204</v>
      </c>
      <c r="D11" s="73">
        <v>6851</v>
      </c>
      <c r="E11" s="130">
        <v>527</v>
      </c>
      <c r="F11" s="352">
        <v>0</v>
      </c>
      <c r="G11" s="141">
        <f>E11*F11</f>
        <v>0</v>
      </c>
      <c r="H11" s="20">
        <f>(F11+Q11)*10</f>
        <v>0</v>
      </c>
      <c r="I11" s="21"/>
      <c r="J11" s="73">
        <v>0</v>
      </c>
      <c r="K11" s="73">
        <f>+'10.26-11.10(SI)'!I28</f>
        <v>0</v>
      </c>
      <c r="L11" s="73">
        <v>0</v>
      </c>
      <c r="M11" s="352">
        <v>0</v>
      </c>
      <c r="N11" s="73">
        <f>+'10.26-11.10(SI)'!P28</f>
        <v>0</v>
      </c>
      <c r="O11" s="73">
        <f>+'10.26-11.10(SI)'!Q28</f>
        <v>0</v>
      </c>
      <c r="P11" s="233">
        <v>0</v>
      </c>
      <c r="Q11" s="73"/>
      <c r="R11" s="21">
        <f t="shared" si="4"/>
        <v>0</v>
      </c>
      <c r="S11" s="73">
        <v>0</v>
      </c>
      <c r="T11" s="21">
        <f t="shared" si="5"/>
        <v>0</v>
      </c>
      <c r="U11" s="352"/>
      <c r="V11" s="21"/>
      <c r="W11" s="352"/>
      <c r="X11" s="137">
        <f>+G11+H11+P11+R11+T11+V11+W11+I11</f>
        <v>0</v>
      </c>
    </row>
    <row r="12" spans="1:26" s="138" customFormat="1" ht="12" customHeight="1" thickBot="1" x14ac:dyDescent="0.25">
      <c r="A12" s="139">
        <v>6</v>
      </c>
      <c r="B12" s="22" t="s">
        <v>267</v>
      </c>
      <c r="C12" s="72" t="s">
        <v>268</v>
      </c>
      <c r="D12" s="73">
        <v>6851</v>
      </c>
      <c r="E12" s="130">
        <v>527</v>
      </c>
      <c r="F12" s="352">
        <v>3</v>
      </c>
      <c r="G12" s="141">
        <f t="shared" ref="G12:G15" si="7">E12*F12</f>
        <v>1581</v>
      </c>
      <c r="H12" s="20">
        <f t="shared" ref="H12" si="8">(F12+Q12)*10</f>
        <v>30</v>
      </c>
      <c r="I12" s="21"/>
      <c r="J12" s="73">
        <v>0</v>
      </c>
      <c r="K12" s="73">
        <v>0</v>
      </c>
      <c r="L12" s="73">
        <f>+'10.26-11.10(SI)'!J29</f>
        <v>0</v>
      </c>
      <c r="M12" s="352">
        <v>0</v>
      </c>
      <c r="N12" s="73">
        <f>+'10.26-11.10(SI)'!P29</f>
        <v>0</v>
      </c>
      <c r="O12" s="73">
        <f>+'10.26-11.10(SI)'!Q29</f>
        <v>0</v>
      </c>
      <c r="P12" s="233">
        <f t="shared" si="3"/>
        <v>0</v>
      </c>
      <c r="Q12" s="73"/>
      <c r="R12" s="21">
        <f>+Q12*E12</f>
        <v>0</v>
      </c>
      <c r="S12" s="73">
        <v>0</v>
      </c>
      <c r="T12" s="21">
        <f>(+S12*E12)*0.3</f>
        <v>0</v>
      </c>
      <c r="U12" s="352"/>
      <c r="V12" s="21"/>
      <c r="W12" s="73"/>
      <c r="X12" s="137">
        <f>+G12+H12+P12+R12+T12+V12+W12+I12</f>
        <v>1611</v>
      </c>
    </row>
    <row r="13" spans="1:26" s="138" customFormat="1" ht="12" customHeight="1" thickBot="1" x14ac:dyDescent="0.25">
      <c r="A13" s="139">
        <v>7</v>
      </c>
      <c r="B13" s="22" t="s">
        <v>269</v>
      </c>
      <c r="C13" s="72" t="s">
        <v>270</v>
      </c>
      <c r="D13" s="73">
        <v>6851</v>
      </c>
      <c r="E13" s="130">
        <v>527</v>
      </c>
      <c r="F13" s="352">
        <v>0</v>
      </c>
      <c r="G13" s="141">
        <f>E13*F13</f>
        <v>0</v>
      </c>
      <c r="H13" s="20">
        <f>(F13+Q13)*10</f>
        <v>0</v>
      </c>
      <c r="I13" s="21"/>
      <c r="J13" s="73">
        <v>0</v>
      </c>
      <c r="K13" s="73">
        <f>+'10.26-11.10(SI)'!I30</f>
        <v>0</v>
      </c>
      <c r="L13" s="73">
        <f>+'10.26-11.10(SI)'!J30</f>
        <v>0</v>
      </c>
      <c r="M13" s="352">
        <v>0</v>
      </c>
      <c r="N13" s="73">
        <f>+'10.26-11.10(SI)'!P30</f>
        <v>0</v>
      </c>
      <c r="O13" s="73">
        <f>+'10.26-11.10(SI)'!Q30</f>
        <v>0</v>
      </c>
      <c r="P13" s="233">
        <f t="shared" si="3"/>
        <v>0</v>
      </c>
      <c r="Q13" s="73"/>
      <c r="R13" s="21">
        <f t="shared" si="4"/>
        <v>0</v>
      </c>
      <c r="S13" s="73">
        <v>0</v>
      </c>
      <c r="T13" s="21">
        <f t="shared" si="5"/>
        <v>0</v>
      </c>
      <c r="U13" s="352"/>
      <c r="V13" s="21"/>
      <c r="W13" s="73"/>
      <c r="X13" s="137">
        <f t="shared" si="1"/>
        <v>0</v>
      </c>
    </row>
    <row r="14" spans="1:26" s="138" customFormat="1" ht="12" customHeight="1" x14ac:dyDescent="0.2">
      <c r="A14" s="139">
        <v>8</v>
      </c>
      <c r="B14" s="22" t="s">
        <v>304</v>
      </c>
      <c r="C14" s="72" t="s">
        <v>268</v>
      </c>
      <c r="D14" s="73">
        <v>6851</v>
      </c>
      <c r="E14" s="130">
        <v>527</v>
      </c>
      <c r="F14" s="352">
        <v>6</v>
      </c>
      <c r="G14" s="141">
        <f t="shared" si="7"/>
        <v>3162</v>
      </c>
      <c r="H14" s="20">
        <f t="shared" si="2"/>
        <v>60</v>
      </c>
      <c r="I14" s="1"/>
      <c r="J14" s="73">
        <v>0</v>
      </c>
      <c r="K14" s="73"/>
      <c r="L14" s="73"/>
      <c r="M14" s="73"/>
      <c r="N14" s="73"/>
      <c r="O14" s="73"/>
      <c r="P14" s="233">
        <f t="shared" si="3"/>
        <v>0</v>
      </c>
      <c r="Q14" s="73"/>
      <c r="R14" s="21">
        <f t="shared" si="4"/>
        <v>0</v>
      </c>
      <c r="S14" s="73"/>
      <c r="T14" s="21">
        <f t="shared" si="5"/>
        <v>0</v>
      </c>
      <c r="U14" s="73"/>
      <c r="V14" s="21"/>
      <c r="W14" s="15"/>
      <c r="X14" s="137">
        <f t="shared" ref="X14:X16" si="9">+G14+H14+P14+R14+T14+V14+W14+I14</f>
        <v>3222</v>
      </c>
    </row>
    <row r="15" spans="1:26" s="138" customFormat="1" ht="12" customHeight="1" x14ac:dyDescent="0.2">
      <c r="A15" s="139">
        <v>9</v>
      </c>
      <c r="B15" s="22" t="s">
        <v>305</v>
      </c>
      <c r="C15" s="72" t="s">
        <v>306</v>
      </c>
      <c r="D15" s="73">
        <v>6851</v>
      </c>
      <c r="E15" s="130">
        <f t="shared" ref="E15:E16" si="10">+D15/13</f>
        <v>527</v>
      </c>
      <c r="F15" s="352">
        <v>3</v>
      </c>
      <c r="G15" s="141">
        <f t="shared" si="7"/>
        <v>1581</v>
      </c>
      <c r="H15" s="21">
        <f t="shared" ref="H15:H16" si="11">(F15+J15+K15+L15+Q15)*10</f>
        <v>30</v>
      </c>
      <c r="I15" s="1"/>
      <c r="J15" s="73"/>
      <c r="K15" s="73"/>
      <c r="L15" s="73"/>
      <c r="M15" s="73"/>
      <c r="N15" s="73"/>
      <c r="O15" s="73"/>
      <c r="P15" s="233">
        <f t="shared" si="3"/>
        <v>0</v>
      </c>
      <c r="Q15" s="73"/>
      <c r="R15" s="21">
        <f t="shared" si="4"/>
        <v>0</v>
      </c>
      <c r="S15" s="73"/>
      <c r="T15" s="21">
        <f t="shared" si="5"/>
        <v>0</v>
      </c>
      <c r="U15" s="73"/>
      <c r="V15" s="21">
        <f t="shared" ref="V15:V16" si="12">(E15/8/10)*U15</f>
        <v>0</v>
      </c>
      <c r="W15" s="15"/>
      <c r="X15" s="137">
        <f t="shared" si="9"/>
        <v>1611</v>
      </c>
    </row>
    <row r="16" spans="1:26" s="138" customFormat="1" ht="12" customHeight="1" x14ac:dyDescent="0.2">
      <c r="A16" s="139">
        <v>10</v>
      </c>
      <c r="B16" s="22"/>
      <c r="C16" s="72"/>
      <c r="D16" s="73"/>
      <c r="E16" s="130">
        <f t="shared" si="10"/>
        <v>0</v>
      </c>
      <c r="F16" s="140"/>
      <c r="G16" s="141">
        <f t="shared" ref="G16" si="13">+D16</f>
        <v>0</v>
      </c>
      <c r="H16" s="21">
        <f t="shared" si="11"/>
        <v>0</v>
      </c>
      <c r="I16" s="1"/>
      <c r="J16" s="15"/>
      <c r="K16" s="15"/>
      <c r="L16" s="15"/>
      <c r="M16" s="73"/>
      <c r="N16" s="73"/>
      <c r="O16" s="73"/>
      <c r="P16" s="233">
        <f t="shared" si="3"/>
        <v>0</v>
      </c>
      <c r="Q16" s="73"/>
      <c r="R16" s="21">
        <f t="shared" si="4"/>
        <v>0</v>
      </c>
      <c r="S16" s="73"/>
      <c r="T16" s="21">
        <f t="shared" si="5"/>
        <v>0</v>
      </c>
      <c r="U16" s="73"/>
      <c r="V16" s="21">
        <f t="shared" si="12"/>
        <v>0</v>
      </c>
      <c r="W16" s="15"/>
      <c r="X16" s="137">
        <f t="shared" si="9"/>
        <v>0</v>
      </c>
    </row>
    <row r="17" spans="1:24" s="138" customFormat="1" ht="12" customHeight="1" x14ac:dyDescent="0.2">
      <c r="A17" s="139"/>
      <c r="B17" s="143"/>
      <c r="C17" s="144"/>
      <c r="D17" s="73"/>
      <c r="E17" s="130"/>
      <c r="F17" s="145"/>
      <c r="G17" s="141"/>
      <c r="H17" s="21"/>
      <c r="I17" s="21"/>
      <c r="J17" s="15"/>
      <c r="K17" s="15"/>
      <c r="L17" s="15"/>
      <c r="M17" s="144"/>
      <c r="N17" s="144"/>
      <c r="O17" s="144"/>
      <c r="P17" s="21"/>
      <c r="Q17" s="144"/>
      <c r="R17" s="21"/>
      <c r="S17" s="144"/>
      <c r="T17" s="21"/>
      <c r="U17" s="144"/>
      <c r="V17" s="21"/>
      <c r="W17" s="15"/>
      <c r="X17" s="137">
        <f>+G17+H17+P17+R17+T17+V17+W17</f>
        <v>0</v>
      </c>
    </row>
    <row r="18" spans="1:24" s="138" customFormat="1" ht="12" customHeight="1" thickBot="1" x14ac:dyDescent="0.25">
      <c r="A18" s="146"/>
      <c r="B18" s="147"/>
      <c r="C18" s="148"/>
      <c r="D18" s="4">
        <f>SUM(D7:D17)</f>
        <v>65081</v>
      </c>
      <c r="E18" s="3">
        <f>SUM(E7:E17)</f>
        <v>5006.2307692307695</v>
      </c>
      <c r="F18" s="4"/>
      <c r="G18" s="3">
        <f>SUM(G7:G17)</f>
        <v>14229</v>
      </c>
      <c r="H18" s="3">
        <f>SUM(H7:H16)</f>
        <v>270</v>
      </c>
      <c r="I18" s="3">
        <f>SUM(I7:I16)</f>
        <v>0</v>
      </c>
      <c r="J18" s="4"/>
      <c r="K18" s="4"/>
      <c r="L18" s="4"/>
      <c r="M18" s="4"/>
      <c r="N18" s="4"/>
      <c r="O18" s="4"/>
      <c r="P18" s="3">
        <f>SUM(P7:P16)</f>
        <v>0</v>
      </c>
      <c r="Q18" s="4"/>
      <c r="R18" s="3">
        <f>SUM(R7:R16)</f>
        <v>0</v>
      </c>
      <c r="S18" s="4"/>
      <c r="T18" s="3">
        <f>SUM(T7:T16)</f>
        <v>0</v>
      </c>
      <c r="U18" s="6"/>
      <c r="V18" s="3">
        <f>SUM(V7:V16)</f>
        <v>0</v>
      </c>
      <c r="W18" s="4"/>
      <c r="X18" s="3">
        <f>SUM(X7:X16)</f>
        <v>14499</v>
      </c>
    </row>
    <row r="19" spans="1:24" s="138" customFormat="1" ht="12" thickBot="1" x14ac:dyDescent="0.25">
      <c r="A19" s="149"/>
      <c r="B19" s="150"/>
      <c r="C19" s="151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</row>
    <row r="20" spans="1:24" s="138" customFormat="1" ht="11.25" customHeight="1" x14ac:dyDescent="0.2">
      <c r="A20" s="389"/>
      <c r="B20" s="391" t="s">
        <v>0</v>
      </c>
      <c r="C20" s="393" t="s">
        <v>1</v>
      </c>
      <c r="D20" s="395" t="s">
        <v>3</v>
      </c>
      <c r="E20" s="397" t="s">
        <v>22</v>
      </c>
      <c r="F20" s="404" t="s">
        <v>2</v>
      </c>
      <c r="G20" s="408" t="s">
        <v>21</v>
      </c>
      <c r="H20" s="395" t="s">
        <v>2</v>
      </c>
      <c r="I20" s="400" t="s">
        <v>126</v>
      </c>
      <c r="J20" s="417" t="s">
        <v>4</v>
      </c>
      <c r="K20" s="419" t="s">
        <v>23</v>
      </c>
      <c r="L20" s="395" t="s">
        <v>5</v>
      </c>
      <c r="M20" s="395" t="s">
        <v>6</v>
      </c>
      <c r="N20" s="395" t="s">
        <v>24</v>
      </c>
      <c r="O20" s="395" t="s">
        <v>7</v>
      </c>
      <c r="P20" s="415" t="s">
        <v>3</v>
      </c>
      <c r="Q20" s="244"/>
      <c r="R20" s="152" t="s">
        <v>103</v>
      </c>
      <c r="S20" s="244"/>
    </row>
    <row r="21" spans="1:24" s="138" customFormat="1" ht="15" customHeight="1" thickBot="1" x14ac:dyDescent="0.25">
      <c r="A21" s="390"/>
      <c r="B21" s="392"/>
      <c r="C21" s="394"/>
      <c r="D21" s="396"/>
      <c r="E21" s="398"/>
      <c r="F21" s="405"/>
      <c r="G21" s="409"/>
      <c r="H21" s="399"/>
      <c r="I21" s="401"/>
      <c r="J21" s="418"/>
      <c r="K21" s="420"/>
      <c r="L21" s="399"/>
      <c r="M21" s="399"/>
      <c r="N21" s="396"/>
      <c r="O21" s="399"/>
      <c r="P21" s="416"/>
      <c r="R21" s="250" t="str">
        <f>D3</f>
        <v>September 28-Oct 03, 2020</v>
      </c>
    </row>
    <row r="22" spans="1:24" s="138" customFormat="1" ht="12" customHeight="1" x14ac:dyDescent="0.2">
      <c r="A22" s="153">
        <v>1</v>
      </c>
      <c r="B22" s="49" t="str">
        <f>+B7</f>
        <v>Biarcal, Ronald Glenn</v>
      </c>
      <c r="C22" s="247" t="str">
        <f>+C7</f>
        <v>M.T.Purchaser</v>
      </c>
      <c r="D22" s="154">
        <f t="shared" ref="D22:D31" si="14">+X7</f>
        <v>3222</v>
      </c>
      <c r="E22" s="353">
        <v>0</v>
      </c>
      <c r="F22" s="354">
        <f>+E22*E7</f>
        <v>0</v>
      </c>
      <c r="G22" s="353"/>
      <c r="H22" s="354">
        <f>(+E7/8)*G22</f>
        <v>0</v>
      </c>
      <c r="I22" s="353"/>
      <c r="J22" s="155"/>
      <c r="K22" s="357"/>
      <c r="L22" s="15"/>
      <c r="M22" s="156"/>
      <c r="N22" s="357"/>
      <c r="O22" s="156"/>
      <c r="P22" s="158">
        <f t="shared" ref="P22:P27" si="15">+D22-F22-H22-J22-K22-L22-M22-N22-O22-I22</f>
        <v>3222</v>
      </c>
      <c r="R22" s="71">
        <f t="shared" ref="R22:R31" si="16">G7+H7+P7+R7+T7+V7+W7-F22-H22</f>
        <v>3222</v>
      </c>
    </row>
    <row r="23" spans="1:24" s="138" customFormat="1" ht="12" customHeight="1" x14ac:dyDescent="0.2">
      <c r="A23" s="139">
        <v>2</v>
      </c>
      <c r="B23" s="22" t="str">
        <f>+B8</f>
        <v>Sanchez, Angelo</v>
      </c>
      <c r="C23" s="248" t="str">
        <f>+C8</f>
        <v>Head Cook</v>
      </c>
      <c r="D23" s="141">
        <f>+X8</f>
        <v>1611</v>
      </c>
      <c r="E23" s="352">
        <v>0</v>
      </c>
      <c r="F23" s="355">
        <f t="shared" ref="F23:F31" si="17">+E23*E8</f>
        <v>0</v>
      </c>
      <c r="G23" s="352"/>
      <c r="H23" s="355">
        <f t="shared" ref="H23:H31" si="18">(+E8/8)*G23</f>
        <v>0</v>
      </c>
      <c r="I23" s="352"/>
      <c r="J23" s="15"/>
      <c r="K23" s="15"/>
      <c r="L23" s="15"/>
      <c r="M23" s="18"/>
      <c r="N23" s="15"/>
      <c r="O23" s="18"/>
      <c r="P23" s="158">
        <f t="shared" si="15"/>
        <v>1611</v>
      </c>
      <c r="R23" s="71">
        <f>G8+H8+P8+R8+T8+V8+W8-F23-H23</f>
        <v>1611</v>
      </c>
    </row>
    <row r="24" spans="1:24" s="138" customFormat="1" ht="12" customHeight="1" x14ac:dyDescent="0.2">
      <c r="A24" s="139">
        <v>3</v>
      </c>
      <c r="B24" s="22" t="str">
        <f>+B9</f>
        <v>Dino, Joyce</v>
      </c>
      <c r="C24" s="248" t="str">
        <f>C9</f>
        <v>Store Manager</v>
      </c>
      <c r="D24" s="141">
        <f t="shared" si="14"/>
        <v>0</v>
      </c>
      <c r="E24" s="352">
        <v>0</v>
      </c>
      <c r="F24" s="355">
        <f t="shared" si="17"/>
        <v>0</v>
      </c>
      <c r="G24" s="352"/>
      <c r="H24" s="355">
        <f>(+E9/8)*G24</f>
        <v>0</v>
      </c>
      <c r="I24" s="352"/>
      <c r="J24" s="15"/>
      <c r="K24" s="359"/>
      <c r="L24" s="15"/>
      <c r="M24" s="18"/>
      <c r="N24" s="359"/>
      <c r="O24" s="18"/>
      <c r="P24" s="158">
        <f t="shared" si="15"/>
        <v>0</v>
      </c>
      <c r="R24" s="71">
        <f t="shared" si="16"/>
        <v>0</v>
      </c>
    </row>
    <row r="25" spans="1:24" s="138" customFormat="1" ht="12" customHeight="1" x14ac:dyDescent="0.2">
      <c r="A25" s="139">
        <v>4</v>
      </c>
      <c r="B25" s="22" t="str">
        <f>+B10</f>
        <v xml:space="preserve">Sosa, Anna Marie </v>
      </c>
      <c r="C25" s="248" t="str">
        <f>C10</f>
        <v>M.T.Bookkeeper</v>
      </c>
      <c r="D25" s="141">
        <f t="shared" si="14"/>
        <v>3222</v>
      </c>
      <c r="E25" s="352">
        <v>0</v>
      </c>
      <c r="F25" s="355">
        <f t="shared" si="17"/>
        <v>0</v>
      </c>
      <c r="G25" s="352"/>
      <c r="H25" s="355">
        <f t="shared" ref="H25:H27" si="19">(+E10/8)*G25</f>
        <v>0</v>
      </c>
      <c r="I25" s="352"/>
      <c r="J25" s="15"/>
      <c r="K25" s="359"/>
      <c r="L25" s="15"/>
      <c r="M25" s="18"/>
      <c r="N25" s="15"/>
      <c r="O25" s="18"/>
      <c r="P25" s="158">
        <f t="shared" si="15"/>
        <v>3222</v>
      </c>
      <c r="R25" s="71">
        <f t="shared" si="16"/>
        <v>3222</v>
      </c>
    </row>
    <row r="26" spans="1:24" s="138" customFormat="1" ht="12" customHeight="1" x14ac:dyDescent="0.2">
      <c r="A26" s="139">
        <v>5</v>
      </c>
      <c r="B26" s="22" t="str">
        <f t="shared" ref="B26:B31" si="20">+B11</f>
        <v>Briones, Christian Joy</v>
      </c>
      <c r="C26" s="248" t="str">
        <f t="shared" ref="C26:C31" si="21">C11</f>
        <v>Asst. Cook</v>
      </c>
      <c r="D26" s="141">
        <f t="shared" si="14"/>
        <v>0</v>
      </c>
      <c r="E26" s="352">
        <v>0</v>
      </c>
      <c r="F26" s="355">
        <f t="shared" si="17"/>
        <v>0</v>
      </c>
      <c r="G26" s="352"/>
      <c r="H26" s="355">
        <f t="shared" si="19"/>
        <v>0</v>
      </c>
      <c r="I26" s="352"/>
      <c r="J26" s="15"/>
      <c r="K26" s="15"/>
      <c r="L26" s="15"/>
      <c r="M26" s="18"/>
      <c r="N26" s="15"/>
      <c r="O26" s="18"/>
      <c r="P26" s="158">
        <f t="shared" si="15"/>
        <v>0</v>
      </c>
      <c r="R26" s="71">
        <f t="shared" si="16"/>
        <v>0</v>
      </c>
    </row>
    <row r="27" spans="1:24" s="138" customFormat="1" ht="12" customHeight="1" x14ac:dyDescent="0.2">
      <c r="A27" s="139">
        <v>6</v>
      </c>
      <c r="B27" s="22" t="str">
        <f t="shared" si="20"/>
        <v>Cahilig,Benzen</v>
      </c>
      <c r="C27" s="248" t="str">
        <f t="shared" si="21"/>
        <v>Cook</v>
      </c>
      <c r="D27" s="141">
        <f>+X12</f>
        <v>1611</v>
      </c>
      <c r="E27" s="352">
        <v>0</v>
      </c>
      <c r="F27" s="355">
        <f t="shared" si="17"/>
        <v>0</v>
      </c>
      <c r="G27" s="352"/>
      <c r="H27" s="355">
        <f t="shared" si="19"/>
        <v>0</v>
      </c>
      <c r="I27" s="352"/>
      <c r="J27" s="15"/>
      <c r="K27" s="15"/>
      <c r="L27" s="15"/>
      <c r="M27" s="18"/>
      <c r="N27" s="15"/>
      <c r="O27" s="18"/>
      <c r="P27" s="158">
        <f t="shared" si="15"/>
        <v>1611</v>
      </c>
      <c r="R27" s="71">
        <f>G12+H12+P12+R12+T12+V12+W12-F27-H27</f>
        <v>1611</v>
      </c>
    </row>
    <row r="28" spans="1:24" s="138" customFormat="1" ht="12" customHeight="1" x14ac:dyDescent="0.2">
      <c r="A28" s="139">
        <v>7</v>
      </c>
      <c r="B28" s="22" t="str">
        <f t="shared" si="20"/>
        <v>Pantoja,Nancy</v>
      </c>
      <c r="C28" s="248" t="str">
        <f t="shared" si="21"/>
        <v>Cashier</v>
      </c>
      <c r="D28" s="141">
        <f t="shared" si="14"/>
        <v>0</v>
      </c>
      <c r="E28" s="352">
        <v>0</v>
      </c>
      <c r="F28" s="355">
        <f t="shared" si="17"/>
        <v>0</v>
      </c>
      <c r="G28" s="352"/>
      <c r="H28" s="355">
        <f>(+E13/8)*G28</f>
        <v>0</v>
      </c>
      <c r="I28" s="352"/>
      <c r="J28" s="15"/>
      <c r="K28" s="15">
        <v>0</v>
      </c>
      <c r="L28" s="15"/>
      <c r="M28" s="18"/>
      <c r="N28" s="15"/>
      <c r="O28" s="18"/>
      <c r="P28" s="158">
        <f>+D28-F28-H28-J28-K28-L28-M28-N28-O28-I28</f>
        <v>0</v>
      </c>
      <c r="R28" s="71">
        <f t="shared" si="16"/>
        <v>0</v>
      </c>
    </row>
    <row r="29" spans="1:24" s="138" customFormat="1" ht="12" customHeight="1" x14ac:dyDescent="0.2">
      <c r="A29" s="139">
        <v>8</v>
      </c>
      <c r="B29" s="22" t="str">
        <f t="shared" si="20"/>
        <v>Hayagan, Ruel</v>
      </c>
      <c r="C29" s="248" t="str">
        <f t="shared" si="21"/>
        <v>Cook</v>
      </c>
      <c r="D29" s="141">
        <f t="shared" si="14"/>
        <v>3222</v>
      </c>
      <c r="E29" s="352"/>
      <c r="F29" s="355">
        <f t="shared" si="17"/>
        <v>0</v>
      </c>
      <c r="G29" s="352"/>
      <c r="H29" s="355">
        <f t="shared" si="18"/>
        <v>0</v>
      </c>
      <c r="I29" s="352"/>
      <c r="J29" s="15"/>
      <c r="K29" s="15"/>
      <c r="L29" s="15"/>
      <c r="M29" s="18"/>
      <c r="N29" s="15"/>
      <c r="O29" s="18"/>
      <c r="P29" s="158">
        <f>+D29-F29-H29-J29-K29-L29-M29-N29-O29-I29</f>
        <v>3222</v>
      </c>
      <c r="R29" s="71">
        <f t="shared" si="16"/>
        <v>3222</v>
      </c>
    </row>
    <row r="30" spans="1:24" s="138" customFormat="1" ht="12" customHeight="1" x14ac:dyDescent="0.2">
      <c r="A30" s="139">
        <v>9</v>
      </c>
      <c r="B30" s="22" t="str">
        <f t="shared" si="20"/>
        <v>Labadan, Eric</v>
      </c>
      <c r="C30" s="248" t="str">
        <f t="shared" si="21"/>
        <v>Waiter</v>
      </c>
      <c r="D30" s="141">
        <f t="shared" si="14"/>
        <v>1611</v>
      </c>
      <c r="E30" s="352"/>
      <c r="F30" s="355">
        <f t="shared" si="17"/>
        <v>0</v>
      </c>
      <c r="G30" s="352"/>
      <c r="H30" s="355">
        <f t="shared" si="18"/>
        <v>0</v>
      </c>
      <c r="I30" s="352"/>
      <c r="J30" s="15"/>
      <c r="K30" s="15"/>
      <c r="L30" s="15"/>
      <c r="M30" s="18"/>
      <c r="N30" s="15"/>
      <c r="O30" s="18"/>
      <c r="P30" s="158">
        <f t="shared" ref="P30:P31" si="22">+D30-F30-H30-J30-K30-L30-M30-N30-O30-I30</f>
        <v>1611</v>
      </c>
      <c r="R30" s="71">
        <f t="shared" si="16"/>
        <v>1611</v>
      </c>
    </row>
    <row r="31" spans="1:24" s="138" customFormat="1" ht="12" customHeight="1" x14ac:dyDescent="0.2">
      <c r="A31" s="139">
        <v>10</v>
      </c>
      <c r="B31" s="22">
        <f t="shared" si="20"/>
        <v>0</v>
      </c>
      <c r="C31" s="248">
        <f t="shared" si="21"/>
        <v>0</v>
      </c>
      <c r="D31" s="141">
        <f t="shared" si="14"/>
        <v>0</v>
      </c>
      <c r="E31" s="15"/>
      <c r="F31" s="21">
        <f t="shared" si="17"/>
        <v>0</v>
      </c>
      <c r="G31" s="159"/>
      <c r="H31" s="21">
        <f t="shared" si="18"/>
        <v>0</v>
      </c>
      <c r="I31" s="122"/>
      <c r="J31" s="15"/>
      <c r="K31" s="15"/>
      <c r="L31" s="15"/>
      <c r="M31" s="18"/>
      <c r="N31" s="15"/>
      <c r="O31" s="18"/>
      <c r="P31" s="158">
        <f t="shared" si="22"/>
        <v>0</v>
      </c>
      <c r="R31" s="71">
        <f t="shared" si="16"/>
        <v>0</v>
      </c>
    </row>
    <row r="32" spans="1:24" s="138" customFormat="1" ht="12" customHeight="1" x14ac:dyDescent="0.2">
      <c r="A32" s="160"/>
      <c r="B32" s="143"/>
      <c r="C32" s="144"/>
      <c r="D32" s="141"/>
      <c r="E32" s="15"/>
      <c r="F32" s="21"/>
      <c r="G32" s="144"/>
      <c r="H32" s="21"/>
      <c r="I32" s="15"/>
      <c r="J32" s="15"/>
      <c r="K32" s="15"/>
      <c r="L32" s="15"/>
      <c r="M32" s="15"/>
      <c r="N32" s="15"/>
      <c r="O32" s="15"/>
      <c r="P32" s="158"/>
      <c r="R32" s="16"/>
    </row>
    <row r="33" spans="1:25" s="162" customFormat="1" ht="12" customHeight="1" thickBot="1" x14ac:dyDescent="0.25">
      <c r="A33" s="161"/>
      <c r="B33" s="147"/>
      <c r="C33" s="148"/>
      <c r="D33" s="3">
        <f>SUM(D22:D32)</f>
        <v>14499</v>
      </c>
      <c r="E33" s="4">
        <f>+SUM(E22:E32)</f>
        <v>0</v>
      </c>
      <c r="F33" s="3">
        <f>SUM(F22:F32)</f>
        <v>0</v>
      </c>
      <c r="G33" s="4"/>
      <c r="H33" s="3">
        <f>SUM(H22:H32)</f>
        <v>0</v>
      </c>
      <c r="I33" s="3">
        <f>+SUM(I22:I32)</f>
        <v>0</v>
      </c>
      <c r="J33" s="3">
        <f t="shared" ref="J33:O33" si="23">+SUM(J22:J32)</f>
        <v>0</v>
      </c>
      <c r="K33" s="3">
        <f t="shared" si="23"/>
        <v>0</v>
      </c>
      <c r="L33" s="3">
        <f t="shared" si="23"/>
        <v>0</v>
      </c>
      <c r="M33" s="3">
        <f t="shared" si="23"/>
        <v>0</v>
      </c>
      <c r="N33" s="3">
        <f t="shared" si="23"/>
        <v>0</v>
      </c>
      <c r="O33" s="3">
        <f t="shared" si="23"/>
        <v>0</v>
      </c>
      <c r="P33" s="5">
        <f>+SUM(P22:P32)</f>
        <v>14499</v>
      </c>
      <c r="R33" s="51"/>
      <c r="S33" s="249" t="s">
        <v>102</v>
      </c>
      <c r="T33" s="163"/>
    </row>
    <row r="34" spans="1:25" x14ac:dyDescent="0.2">
      <c r="O34" s="19" t="s">
        <v>307</v>
      </c>
      <c r="P34" s="19" t="s">
        <v>115</v>
      </c>
      <c r="Q34" s="19" t="s">
        <v>308</v>
      </c>
      <c r="R34" s="19" t="s">
        <v>3</v>
      </c>
      <c r="S34" s="168"/>
    </row>
    <row r="35" spans="1:25" x14ac:dyDescent="0.2">
      <c r="A35" s="126" t="s">
        <v>8</v>
      </c>
      <c r="D35" s="126" t="s">
        <v>9</v>
      </c>
      <c r="H35" s="126" t="s">
        <v>10</v>
      </c>
      <c r="M35" s="16" t="str">
        <f t="shared" ref="M35:M44" si="24">B22</f>
        <v>Biarcal, Ronald Glenn</v>
      </c>
      <c r="N35" s="165"/>
      <c r="O35" s="16">
        <f>P35/13</f>
        <v>79.538461538461533</v>
      </c>
      <c r="P35" s="16">
        <f>1034</f>
        <v>1034</v>
      </c>
      <c r="Q35" s="16">
        <f>F7</f>
        <v>6</v>
      </c>
      <c r="R35" s="362">
        <f>O35*Q35</f>
        <v>477.23076923076917</v>
      </c>
      <c r="S35" s="166">
        <f t="shared" ref="S35:S44" si="25">+P22+R35</f>
        <v>3699.2307692307691</v>
      </c>
    </row>
    <row r="36" spans="1:25" x14ac:dyDescent="0.2">
      <c r="M36" s="16" t="str">
        <f t="shared" si="24"/>
        <v>Sanchez, Angelo</v>
      </c>
      <c r="N36" s="165"/>
      <c r="O36" s="16">
        <f t="shared" ref="O36:O38" si="26">P36/13</f>
        <v>76.92307692307692</v>
      </c>
      <c r="P36" s="16">
        <v>1000</v>
      </c>
      <c r="Q36" s="16">
        <f>F8</f>
        <v>3</v>
      </c>
      <c r="R36" s="362">
        <f t="shared" ref="R36:R44" si="27">O36*Q36</f>
        <v>230.76923076923077</v>
      </c>
      <c r="S36" s="166">
        <f t="shared" si="25"/>
        <v>1841.7692307692307</v>
      </c>
    </row>
    <row r="37" spans="1:25" x14ac:dyDescent="0.2">
      <c r="A37" s="165" t="str">
        <f>+B25</f>
        <v xml:space="preserve">Sosa, Anna Marie </v>
      </c>
      <c r="D37" s="165" t="str">
        <f>B24</f>
        <v>Dino, Joyce</v>
      </c>
      <c r="H37" s="126" t="s">
        <v>299</v>
      </c>
      <c r="M37" s="16" t="str">
        <f t="shared" si="24"/>
        <v>Dino, Joyce</v>
      </c>
      <c r="N37" s="165"/>
      <c r="O37" s="16">
        <f t="shared" si="26"/>
        <v>100</v>
      </c>
      <c r="P37" s="16">
        <v>1300</v>
      </c>
      <c r="Q37" s="16">
        <f>F9</f>
        <v>0</v>
      </c>
      <c r="R37" s="362">
        <f t="shared" si="27"/>
        <v>0</v>
      </c>
      <c r="S37" s="166">
        <f t="shared" si="25"/>
        <v>0</v>
      </c>
    </row>
    <row r="38" spans="1:25" x14ac:dyDescent="0.2">
      <c r="A38" s="167" t="s">
        <v>104</v>
      </c>
      <c r="B38" s="167"/>
      <c r="C38" s="167"/>
      <c r="D38" s="167" t="s">
        <v>122</v>
      </c>
      <c r="E38" s="167"/>
      <c r="F38" s="167"/>
      <c r="G38" s="167"/>
      <c r="H38" s="167" t="s">
        <v>101</v>
      </c>
      <c r="I38" s="167"/>
      <c r="M38" s="16" t="str">
        <f t="shared" si="24"/>
        <v xml:space="preserve">Sosa, Anna Marie </v>
      </c>
      <c r="N38" s="165"/>
      <c r="O38" s="16">
        <f t="shared" si="26"/>
        <v>79.538461538461533</v>
      </c>
      <c r="P38" s="16">
        <f>1034</f>
        <v>1034</v>
      </c>
      <c r="Q38" s="16">
        <f>F10</f>
        <v>6</v>
      </c>
      <c r="R38" s="362">
        <f t="shared" si="27"/>
        <v>477.23076923076917</v>
      </c>
      <c r="S38" s="166">
        <f t="shared" si="25"/>
        <v>3699.2307692307691</v>
      </c>
      <c r="T38" s="333"/>
      <c r="U38" s="333"/>
      <c r="V38" s="333"/>
      <c r="W38" s="333"/>
      <c r="X38" s="333"/>
      <c r="Y38" s="333"/>
    </row>
    <row r="39" spans="1:25" x14ac:dyDescent="0.2">
      <c r="M39" s="16" t="str">
        <f t="shared" si="24"/>
        <v>Briones, Christian Joy</v>
      </c>
      <c r="O39" s="16">
        <v>0</v>
      </c>
      <c r="P39" s="16">
        <v>0</v>
      </c>
      <c r="Q39" s="16">
        <v>0</v>
      </c>
      <c r="R39" s="126">
        <f t="shared" si="27"/>
        <v>0</v>
      </c>
      <c r="S39" s="166">
        <f t="shared" si="25"/>
        <v>0</v>
      </c>
      <c r="T39" s="360"/>
      <c r="U39" s="333"/>
      <c r="V39" s="333"/>
      <c r="W39" s="333"/>
      <c r="X39" s="333"/>
      <c r="Y39" s="333"/>
    </row>
    <row r="40" spans="1:25" x14ac:dyDescent="0.2">
      <c r="M40" s="16" t="str">
        <f t="shared" si="24"/>
        <v>Cahilig,Benzen</v>
      </c>
      <c r="O40" s="16">
        <v>0</v>
      </c>
      <c r="P40" s="16">
        <v>0</v>
      </c>
      <c r="Q40" s="16">
        <v>0</v>
      </c>
      <c r="R40" s="126">
        <f t="shared" si="27"/>
        <v>0</v>
      </c>
      <c r="S40" s="166">
        <f t="shared" si="25"/>
        <v>1611</v>
      </c>
    </row>
    <row r="41" spans="1:25" x14ac:dyDescent="0.2">
      <c r="M41" s="16" t="str">
        <f t="shared" si="24"/>
        <v>Pantoja,Nancy</v>
      </c>
      <c r="O41" s="16">
        <v>0</v>
      </c>
      <c r="P41" s="16">
        <v>0</v>
      </c>
      <c r="Q41" s="16">
        <v>0</v>
      </c>
      <c r="R41" s="126">
        <f t="shared" si="27"/>
        <v>0</v>
      </c>
      <c r="S41" s="166">
        <f t="shared" si="25"/>
        <v>0</v>
      </c>
    </row>
    <row r="42" spans="1:25" x14ac:dyDescent="0.2">
      <c r="M42" s="16" t="str">
        <f t="shared" si="24"/>
        <v>Hayagan, Ruel</v>
      </c>
      <c r="O42" s="16">
        <v>0</v>
      </c>
      <c r="P42" s="16">
        <v>0</v>
      </c>
      <c r="Q42" s="16">
        <v>0</v>
      </c>
      <c r="R42" s="126">
        <f t="shared" si="27"/>
        <v>0</v>
      </c>
      <c r="S42" s="166">
        <f t="shared" si="25"/>
        <v>3222</v>
      </c>
    </row>
    <row r="43" spans="1:25" x14ac:dyDescent="0.2">
      <c r="M43" s="16" t="str">
        <f t="shared" si="24"/>
        <v>Labadan, Eric</v>
      </c>
      <c r="O43" s="16">
        <v>0</v>
      </c>
      <c r="P43" s="16">
        <v>0</v>
      </c>
      <c r="Q43" s="16">
        <v>0</v>
      </c>
      <c r="R43" s="126">
        <f t="shared" si="27"/>
        <v>0</v>
      </c>
      <c r="S43" s="166">
        <f t="shared" si="25"/>
        <v>1611</v>
      </c>
    </row>
    <row r="44" spans="1:25" x14ac:dyDescent="0.2">
      <c r="M44" s="16">
        <f t="shared" si="24"/>
        <v>0</v>
      </c>
      <c r="O44" s="16">
        <v>0</v>
      </c>
      <c r="P44" s="16">
        <v>0</v>
      </c>
      <c r="Q44" s="16">
        <v>0</v>
      </c>
      <c r="R44" s="126">
        <f t="shared" si="27"/>
        <v>0</v>
      </c>
      <c r="S44" s="166">
        <f t="shared" si="25"/>
        <v>0</v>
      </c>
    </row>
    <row r="46" spans="1:25" x14ac:dyDescent="0.2">
      <c r="P46" s="169"/>
      <c r="R46" s="126" t="s">
        <v>3</v>
      </c>
      <c r="S46" s="164">
        <f>SUM(S35:S45)</f>
        <v>15684.23076923077</v>
      </c>
    </row>
    <row r="53" spans="1:16" ht="13.5" thickBot="1" x14ac:dyDescent="0.25"/>
    <row r="54" spans="1:16" ht="13.5" thickBot="1" x14ac:dyDescent="0.25">
      <c r="A54" s="389"/>
      <c r="B54" s="391" t="s">
        <v>0</v>
      </c>
      <c r="C54" s="393" t="s">
        <v>1</v>
      </c>
      <c r="D54" s="395" t="s">
        <v>45</v>
      </c>
      <c r="E54" s="430" t="s">
        <v>151</v>
      </c>
      <c r="F54" s="427" t="s">
        <v>151</v>
      </c>
      <c r="G54" s="428"/>
      <c r="H54" s="413"/>
      <c r="I54" s="415" t="s">
        <v>3</v>
      </c>
      <c r="J54" s="429" t="s">
        <v>114</v>
      </c>
      <c r="K54" s="425" t="s">
        <v>115</v>
      </c>
      <c r="L54" s="425" t="s">
        <v>308</v>
      </c>
      <c r="M54" s="425" t="s">
        <v>3</v>
      </c>
      <c r="N54" s="424" t="s">
        <v>102</v>
      </c>
    </row>
    <row r="55" spans="1:16" ht="13.5" thickBot="1" x14ac:dyDescent="0.25">
      <c r="A55" s="390"/>
      <c r="B55" s="392"/>
      <c r="C55" s="394"/>
      <c r="D55" s="432"/>
      <c r="E55" s="431"/>
      <c r="F55" s="245" t="s">
        <v>117</v>
      </c>
      <c r="G55" s="246" t="s">
        <v>303</v>
      </c>
      <c r="H55" s="414"/>
      <c r="I55" s="416"/>
      <c r="J55" s="429"/>
      <c r="K55" s="425"/>
      <c r="L55" s="425"/>
      <c r="M55" s="425"/>
      <c r="N55" s="424"/>
    </row>
    <row r="56" spans="1:16" ht="13.5" thickBot="1" x14ac:dyDescent="0.25">
      <c r="A56" s="153">
        <v>1</v>
      </c>
      <c r="B56" s="49" t="str">
        <f t="shared" ref="B56:C65" si="28">+B22</f>
        <v>Biarcal, Ronald Glenn</v>
      </c>
      <c r="C56" s="49" t="str">
        <f t="shared" si="28"/>
        <v>M.T.Purchaser</v>
      </c>
      <c r="D56" s="133"/>
      <c r="E56" s="157"/>
      <c r="F56" s="236"/>
      <c r="G56" s="236"/>
      <c r="H56" s="157">
        <v>0</v>
      </c>
      <c r="I56" s="158">
        <f t="shared" ref="I56:I58" si="29">+D22-F22-H22-D56-J22-K22-L22-M22-N22-O22-E56-H56-F56-G56-I22</f>
        <v>3222</v>
      </c>
      <c r="J56" s="273">
        <f>+O35</f>
        <v>79.538461538461533</v>
      </c>
      <c r="K56" s="273">
        <f t="shared" ref="K56:L60" si="30">+P35</f>
        <v>1034</v>
      </c>
      <c r="L56" s="273">
        <f t="shared" si="30"/>
        <v>6</v>
      </c>
      <c r="M56" s="126">
        <f>J56*L56</f>
        <v>477.23076923076917</v>
      </c>
      <c r="N56" s="165">
        <f>P22+M56</f>
        <v>3699.2307692307691</v>
      </c>
    </row>
    <row r="57" spans="1:16" ht="13.5" thickBot="1" x14ac:dyDescent="0.25">
      <c r="A57" s="139">
        <v>2</v>
      </c>
      <c r="B57" s="22" t="str">
        <f t="shared" si="28"/>
        <v>Sanchez, Angelo</v>
      </c>
      <c r="C57" s="248" t="str">
        <f t="shared" si="28"/>
        <v>Head Cook</v>
      </c>
      <c r="D57" s="73"/>
      <c r="E57" s="122"/>
      <c r="F57" s="122"/>
      <c r="G57" s="236"/>
      <c r="H57" s="157">
        <v>0</v>
      </c>
      <c r="I57" s="158">
        <f>+D23-F23-H23-D57-J23-K23-L23-M23-N23-O23-E57-H57-F57-G57-I23</f>
        <v>1611</v>
      </c>
      <c r="J57" s="273">
        <f>+O36</f>
        <v>76.92307692307692</v>
      </c>
      <c r="K57" s="273">
        <f t="shared" si="30"/>
        <v>1000</v>
      </c>
      <c r="L57" s="273">
        <f t="shared" si="30"/>
        <v>3</v>
      </c>
      <c r="M57" s="126">
        <f t="shared" ref="M57:M59" si="31">J57*L57</f>
        <v>230.76923076923077</v>
      </c>
      <c r="N57" s="165">
        <f>P23+M57</f>
        <v>1841.7692307692307</v>
      </c>
    </row>
    <row r="58" spans="1:16" ht="13.5" thickBot="1" x14ac:dyDescent="0.25">
      <c r="A58" s="139">
        <v>3</v>
      </c>
      <c r="B58" s="22" t="str">
        <f t="shared" si="28"/>
        <v>Dino, Joyce</v>
      </c>
      <c r="C58" s="248" t="str">
        <f t="shared" si="28"/>
        <v>Store Manager</v>
      </c>
      <c r="D58" s="73"/>
      <c r="E58" s="122"/>
      <c r="F58" s="18"/>
      <c r="G58" s="236"/>
      <c r="H58" s="157">
        <v>0</v>
      </c>
      <c r="I58" s="158">
        <f t="shared" si="29"/>
        <v>0</v>
      </c>
      <c r="J58" s="273">
        <f>+O37</f>
        <v>100</v>
      </c>
      <c r="K58" s="273">
        <f t="shared" si="30"/>
        <v>1300</v>
      </c>
      <c r="L58" s="273">
        <f t="shared" si="30"/>
        <v>0</v>
      </c>
      <c r="M58" s="126">
        <f t="shared" si="31"/>
        <v>0</v>
      </c>
      <c r="N58" s="165">
        <f>P24+M58</f>
        <v>0</v>
      </c>
      <c r="P58" s="165"/>
    </row>
    <row r="59" spans="1:16" ht="13.5" thickBot="1" x14ac:dyDescent="0.25">
      <c r="A59" s="139">
        <v>4</v>
      </c>
      <c r="B59" s="22" t="str">
        <f t="shared" si="28"/>
        <v xml:space="preserve">Sosa, Anna Marie </v>
      </c>
      <c r="C59" s="248" t="str">
        <f t="shared" si="28"/>
        <v>M.T.Bookkeeper</v>
      </c>
      <c r="D59" s="73"/>
      <c r="E59" s="122"/>
      <c r="F59" s="122"/>
      <c r="G59" s="236"/>
      <c r="H59" s="157">
        <v>0</v>
      </c>
      <c r="I59" s="158">
        <f>+D25-F25-H25-D59-J25-K25-L25-M25-N25-O25-E59-H59-F59-G59-I25</f>
        <v>3222</v>
      </c>
      <c r="J59" s="273">
        <f>+O38</f>
        <v>79.538461538461533</v>
      </c>
      <c r="K59" s="273">
        <f t="shared" si="30"/>
        <v>1034</v>
      </c>
      <c r="L59" s="273">
        <f t="shared" si="30"/>
        <v>6</v>
      </c>
      <c r="M59" s="126">
        <f t="shared" si="31"/>
        <v>477.23076923076917</v>
      </c>
      <c r="N59" s="165">
        <f>P25+M59</f>
        <v>3699.2307692307691</v>
      </c>
    </row>
    <row r="60" spans="1:16" ht="13.5" thickBot="1" x14ac:dyDescent="0.25">
      <c r="A60" s="139">
        <v>5</v>
      </c>
      <c r="B60" s="22" t="str">
        <f t="shared" si="28"/>
        <v>Briones, Christian Joy</v>
      </c>
      <c r="C60" s="248" t="str">
        <f t="shared" si="28"/>
        <v>Asst. Cook</v>
      </c>
      <c r="D60" s="73"/>
      <c r="E60" s="122"/>
      <c r="F60" s="122"/>
      <c r="G60" s="236"/>
      <c r="H60" s="157">
        <v>0</v>
      </c>
      <c r="I60" s="158">
        <f>+D26-F26-H26-D60-J26-K26-L26-M26-N26-O26-E60-H60-F60-G60-I26</f>
        <v>0</v>
      </c>
      <c r="J60" s="273">
        <f>+O39</f>
        <v>0</v>
      </c>
      <c r="K60" s="273">
        <f t="shared" si="30"/>
        <v>0</v>
      </c>
      <c r="L60" s="273">
        <f t="shared" si="30"/>
        <v>0</v>
      </c>
      <c r="N60" s="165">
        <f t="shared" ref="N60:N65" si="32">+I60+J60+K60</f>
        <v>0</v>
      </c>
    </row>
    <row r="61" spans="1:16" ht="13.5" thickBot="1" x14ac:dyDescent="0.25">
      <c r="A61" s="139">
        <v>6</v>
      </c>
      <c r="B61" s="22" t="str">
        <f t="shared" si="28"/>
        <v>Cahilig,Benzen</v>
      </c>
      <c r="C61" s="248" t="str">
        <f t="shared" si="28"/>
        <v>Cook</v>
      </c>
      <c r="D61" s="73"/>
      <c r="E61" s="122"/>
      <c r="F61" s="122"/>
      <c r="G61" s="236"/>
      <c r="H61" s="157">
        <v>0</v>
      </c>
      <c r="I61" s="158">
        <f>+D27-F27-H27-D61-J27-K27-L27-M27-N27-O27-E61-H61-F61-G61-I27</f>
        <v>1611</v>
      </c>
      <c r="N61" s="165">
        <f t="shared" si="32"/>
        <v>1611</v>
      </c>
    </row>
    <row r="62" spans="1:16" x14ac:dyDescent="0.2">
      <c r="A62" s="139">
        <v>7</v>
      </c>
      <c r="B62" s="22" t="str">
        <f t="shared" si="28"/>
        <v>Pantoja,Nancy</v>
      </c>
      <c r="C62" s="248" t="str">
        <f t="shared" si="28"/>
        <v>Cashier</v>
      </c>
      <c r="D62" s="73"/>
      <c r="E62" s="122"/>
      <c r="F62" s="122"/>
      <c r="G62" s="236"/>
      <c r="H62" s="157">
        <v>0</v>
      </c>
      <c r="I62" s="158">
        <f>+D28-F28-H28-D62-J28-K28-L28-M28-N28-O28-E62-H62-F62-G62-I28</f>
        <v>0</v>
      </c>
      <c r="N62" s="165">
        <f t="shared" si="32"/>
        <v>0</v>
      </c>
    </row>
    <row r="63" spans="1:16" x14ac:dyDescent="0.2">
      <c r="A63" s="139">
        <v>8</v>
      </c>
      <c r="B63" s="22" t="str">
        <f t="shared" si="28"/>
        <v>Hayagan, Ruel</v>
      </c>
      <c r="C63" s="248" t="str">
        <f t="shared" si="28"/>
        <v>Cook</v>
      </c>
      <c r="D63" s="73"/>
      <c r="E63" s="122"/>
      <c r="F63" s="122"/>
      <c r="G63" s="122"/>
      <c r="H63" s="15">
        <v>0</v>
      </c>
      <c r="I63" s="158">
        <f t="shared" ref="I63:I65" si="33">+D29-F29-H29-D63-J29-K29-L29-M29-N29-O29-E63-H63-F63-G63-I29</f>
        <v>3222</v>
      </c>
      <c r="N63" s="165">
        <f t="shared" si="32"/>
        <v>3222</v>
      </c>
    </row>
    <row r="64" spans="1:16" x14ac:dyDescent="0.2">
      <c r="A64" s="139">
        <v>9</v>
      </c>
      <c r="B64" s="22" t="str">
        <f t="shared" si="28"/>
        <v>Labadan, Eric</v>
      </c>
      <c r="C64" s="248" t="str">
        <f t="shared" si="28"/>
        <v>Waiter</v>
      </c>
      <c r="D64" s="73"/>
      <c r="E64" s="122"/>
      <c r="F64" s="122"/>
      <c r="G64" s="122"/>
      <c r="H64" s="15">
        <v>0</v>
      </c>
      <c r="I64" s="158">
        <f t="shared" si="33"/>
        <v>1611</v>
      </c>
      <c r="N64" s="165">
        <f t="shared" si="32"/>
        <v>1611</v>
      </c>
    </row>
    <row r="65" spans="1:14" x14ac:dyDescent="0.2">
      <c r="A65" s="139">
        <v>10</v>
      </c>
      <c r="B65" s="22">
        <f t="shared" si="28"/>
        <v>0</v>
      </c>
      <c r="C65" s="248">
        <f t="shared" si="28"/>
        <v>0</v>
      </c>
      <c r="D65" s="22"/>
      <c r="E65" s="122"/>
      <c r="F65" s="122"/>
      <c r="G65" s="122"/>
      <c r="H65" s="15">
        <v>0</v>
      </c>
      <c r="I65" s="158">
        <f t="shared" si="33"/>
        <v>0</v>
      </c>
      <c r="N65" s="165">
        <f t="shared" si="32"/>
        <v>0</v>
      </c>
    </row>
    <row r="66" spans="1:14" x14ac:dyDescent="0.2">
      <c r="A66" s="160"/>
      <c r="B66" s="143"/>
      <c r="C66" s="144"/>
      <c r="D66" s="22"/>
      <c r="E66" s="15"/>
      <c r="F66" s="15"/>
      <c r="G66" s="15"/>
      <c r="H66" s="15"/>
      <c r="I66" s="158"/>
    </row>
    <row r="67" spans="1:14" ht="13.5" thickBot="1" x14ac:dyDescent="0.25">
      <c r="A67" s="161"/>
      <c r="B67" s="147"/>
      <c r="C67" s="148"/>
      <c r="D67" s="3">
        <f>SUM(D56:D66)</f>
        <v>0</v>
      </c>
      <c r="E67" s="3">
        <f>+SUM(E56:E66)</f>
        <v>0</v>
      </c>
      <c r="F67" s="3">
        <f>+SUM(F56:F66)</f>
        <v>0</v>
      </c>
      <c r="G67" s="3">
        <f>+SUM(G56:G66)</f>
        <v>0</v>
      </c>
      <c r="H67" s="3">
        <f>+SUM(H56:H66)</f>
        <v>0</v>
      </c>
      <c r="I67" s="5">
        <f>+SUM(I56:I66)</f>
        <v>14499</v>
      </c>
      <c r="N67" s="361">
        <f>SUM(N56:N66)</f>
        <v>15684.23076923077</v>
      </c>
    </row>
  </sheetData>
  <sheetProtection formatCells="0" formatColumns="0" formatRows="0" insertColumns="0" insertRows="0" insertHyperlinks="0" deleteColumns="0" deleteRows="0" sort="0" autoFilter="0" pivotTables="0"/>
  <protectedRanges>
    <protectedRange password="A316" sqref="R21:R32 P45:P46 M35:M45 S35:S44" name="Range1"/>
    <protectedRange password="A316" sqref="M22:M31" name="n. hdmf_1"/>
    <protectedRange password="A316" sqref="L22:L27" name="m. phic_1"/>
    <protectedRange password="A316" sqref="J22:J27" name="l. sss_1"/>
    <protectedRange password="A316" sqref="W15" name="g. adjustmetn_1"/>
  </protectedRanges>
  <mergeCells count="49">
    <mergeCell ref="E54:E55"/>
    <mergeCell ref="D54:D55"/>
    <mergeCell ref="A5:A6"/>
    <mergeCell ref="B5:B6"/>
    <mergeCell ref="C5:C6"/>
    <mergeCell ref="D5:D6"/>
    <mergeCell ref="E5:E6"/>
    <mergeCell ref="A54:A55"/>
    <mergeCell ref="B54:B55"/>
    <mergeCell ref="C54:C55"/>
    <mergeCell ref="G5:G6"/>
    <mergeCell ref="L20:L21"/>
    <mergeCell ref="F5:F6"/>
    <mergeCell ref="K54:K55"/>
    <mergeCell ref="F54:G54"/>
    <mergeCell ref="I54:I55"/>
    <mergeCell ref="J54:J55"/>
    <mergeCell ref="V5:V6"/>
    <mergeCell ref="H54:H55"/>
    <mergeCell ref="P20:P21"/>
    <mergeCell ref="J20:J21"/>
    <mergeCell ref="K20:K21"/>
    <mergeCell ref="U5:U6"/>
    <mergeCell ref="P5:P6"/>
    <mergeCell ref="M5:O5"/>
    <mergeCell ref="Q5:Q6"/>
    <mergeCell ref="N54:N55"/>
    <mergeCell ref="N20:N21"/>
    <mergeCell ref="R5:R6"/>
    <mergeCell ref="S5:S6"/>
    <mergeCell ref="L54:L55"/>
    <mergeCell ref="H20:H21"/>
    <mergeCell ref="M54:M55"/>
    <mergeCell ref="W5:W6"/>
    <mergeCell ref="X5:X6"/>
    <mergeCell ref="A20:A21"/>
    <mergeCell ref="B20:B21"/>
    <mergeCell ref="C20:C21"/>
    <mergeCell ref="D20:D21"/>
    <mergeCell ref="E20:E21"/>
    <mergeCell ref="M20:M21"/>
    <mergeCell ref="I20:I21"/>
    <mergeCell ref="I5:I6"/>
    <mergeCell ref="F20:F21"/>
    <mergeCell ref="O20:O21"/>
    <mergeCell ref="T5:T6"/>
    <mergeCell ref="G20:G21"/>
    <mergeCell ref="H5:H6"/>
    <mergeCell ref="J5:L5"/>
  </mergeCells>
  <printOptions horizontalCentered="1"/>
  <pageMargins left="0.25" right="1.25" top="0.52" bottom="0.37" header="0.5" footer="0.5"/>
  <pageSetup paperSize="5" scale="65" orientation="landscape" horizontalDpi="300" verticalDpi="300" r:id="rId1"/>
  <headerFooter alignWithMargins="0"/>
  <rowBreaks count="1" manualBreakCount="1">
    <brk id="50" max="24" man="1"/>
  </rowBreaks>
  <colBreaks count="1" manualBreakCount="1">
    <brk id="25" max="47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006600"/>
  </sheetPr>
  <dimension ref="A1:V165"/>
  <sheetViews>
    <sheetView topLeftCell="A134" workbookViewId="0">
      <selection activeCell="AB26" sqref="AB26"/>
    </sheetView>
  </sheetViews>
  <sheetFormatPr defaultColWidth="9.140625" defaultRowHeight="12.75" x14ac:dyDescent="0.2"/>
  <cols>
    <col min="1" max="1" width="3" style="170" customWidth="1"/>
    <col min="2" max="2" width="12.28515625" style="172" customWidth="1"/>
    <col min="3" max="3" width="3.42578125" style="227" customWidth="1"/>
    <col min="4" max="4" width="9.7109375" style="227" customWidth="1"/>
    <col min="5" max="5" width="13.7109375" style="227" customWidth="1"/>
    <col min="6" max="6" width="10.140625" style="53" customWidth="1"/>
    <col min="7" max="7" width="3" style="53" hidden="1" customWidth="1"/>
    <col min="8" max="8" width="10.28515625" style="227" customWidth="1"/>
    <col min="9" max="9" width="2.42578125" style="170" customWidth="1"/>
    <col min="10" max="10" width="12.28515625" style="7" customWidth="1"/>
    <col min="11" max="11" width="3.42578125" style="170" customWidth="1"/>
    <col min="12" max="12" width="9.7109375" style="170" customWidth="1"/>
    <col min="13" max="13" width="13.7109375" style="170" customWidth="1"/>
    <col min="14" max="14" width="10.42578125" style="174" customWidth="1"/>
    <col min="15" max="15" width="3" style="174" hidden="1" customWidth="1"/>
    <col min="16" max="16" width="10.28515625" style="170" customWidth="1"/>
    <col min="17" max="17" width="3.42578125" style="170" customWidth="1"/>
    <col min="18" max="18" width="10.85546875" style="170" bestFit="1" customWidth="1"/>
    <col min="19" max="19" width="9.140625" style="170"/>
    <col min="20" max="20" width="12" style="175" bestFit="1" customWidth="1"/>
    <col min="21" max="21" width="9.140625" style="176"/>
    <col min="22" max="22" width="10.42578125" style="177" bestFit="1" customWidth="1"/>
    <col min="23" max="16384" width="9.140625" style="170"/>
  </cols>
  <sheetData>
    <row r="1" spans="1:22" ht="18.75" customHeight="1" thickBot="1" x14ac:dyDescent="0.25">
      <c r="B1" s="171">
        <v>1</v>
      </c>
      <c r="C1" s="172"/>
      <c r="D1" s="172"/>
      <c r="E1" s="172"/>
      <c r="F1" s="172"/>
      <c r="G1" s="172"/>
      <c r="H1" s="172"/>
      <c r="J1" s="173">
        <v>2</v>
      </c>
    </row>
    <row r="2" spans="1:22" x14ac:dyDescent="0.2">
      <c r="B2" s="440" t="str">
        <f>'26-10 payroll'!A1</f>
        <v>THE OLD SPAGHETTI HOUSE</v>
      </c>
      <c r="C2" s="441"/>
      <c r="D2" s="441"/>
      <c r="E2" s="441"/>
      <c r="F2" s="441"/>
      <c r="G2" s="441"/>
      <c r="H2" s="442"/>
      <c r="I2" s="178"/>
      <c r="J2" s="440" t="str">
        <f>'26-10 payroll'!A1</f>
        <v>THE OLD SPAGHETTI HOUSE</v>
      </c>
      <c r="K2" s="441"/>
      <c r="L2" s="441"/>
      <c r="M2" s="441"/>
      <c r="N2" s="441"/>
      <c r="O2" s="441"/>
      <c r="P2" s="442"/>
    </row>
    <row r="3" spans="1:22" s="179" customFormat="1" x14ac:dyDescent="0.2">
      <c r="A3" s="170"/>
      <c r="B3" s="443" t="str">
        <f>'26-10 payroll'!D2</f>
        <v>VALERO</v>
      </c>
      <c r="C3" s="444"/>
      <c r="D3" s="444"/>
      <c r="E3" s="444"/>
      <c r="F3" s="444"/>
      <c r="G3" s="444"/>
      <c r="H3" s="445"/>
      <c r="I3" s="178"/>
      <c r="J3" s="443" t="str">
        <f>'26-10 payroll'!D2</f>
        <v>VALERO</v>
      </c>
      <c r="K3" s="444"/>
      <c r="L3" s="444"/>
      <c r="M3" s="444"/>
      <c r="N3" s="444"/>
      <c r="O3" s="444"/>
      <c r="P3" s="445"/>
      <c r="T3" s="180"/>
      <c r="U3" s="181"/>
      <c r="V3" s="182"/>
    </row>
    <row r="4" spans="1:22" s="187" customFormat="1" ht="6.75" customHeight="1" x14ac:dyDescent="0.2">
      <c r="A4" s="170"/>
      <c r="B4" s="183"/>
      <c r="C4" s="184"/>
      <c r="D4" s="184"/>
      <c r="E4" s="184"/>
      <c r="F4" s="54"/>
      <c r="G4" s="54"/>
      <c r="H4" s="185"/>
      <c r="I4" s="186"/>
      <c r="J4" s="183"/>
      <c r="K4" s="184"/>
      <c r="L4" s="184"/>
      <c r="M4" s="184"/>
      <c r="N4" s="8"/>
      <c r="O4" s="8"/>
      <c r="P4" s="185"/>
      <c r="T4" s="188"/>
      <c r="U4" s="189"/>
      <c r="V4" s="190"/>
    </row>
    <row r="5" spans="1:22" s="174" customFormat="1" x14ac:dyDescent="0.2">
      <c r="A5" s="170"/>
      <c r="B5" s="446" t="s">
        <v>25</v>
      </c>
      <c r="C5" s="447"/>
      <c r="D5" s="447"/>
      <c r="E5" s="447"/>
      <c r="F5" s="447"/>
      <c r="G5" s="447"/>
      <c r="H5" s="448"/>
      <c r="I5" s="178"/>
      <c r="J5" s="446" t="s">
        <v>25</v>
      </c>
      <c r="K5" s="447"/>
      <c r="L5" s="447"/>
      <c r="M5" s="447"/>
      <c r="N5" s="447"/>
      <c r="O5" s="447"/>
      <c r="P5" s="448"/>
      <c r="T5" s="175"/>
      <c r="U5" s="176"/>
      <c r="V5" s="191"/>
    </row>
    <row r="6" spans="1:22" s="187" customFormat="1" ht="6.75" customHeight="1" x14ac:dyDescent="0.2">
      <c r="A6" s="170"/>
      <c r="B6" s="183"/>
      <c r="C6" s="184"/>
      <c r="D6" s="184"/>
      <c r="E6" s="184"/>
      <c r="F6" s="54"/>
      <c r="G6" s="54"/>
      <c r="H6" s="185"/>
      <c r="I6" s="186"/>
      <c r="J6" s="183"/>
      <c r="K6" s="184"/>
      <c r="L6" s="184"/>
      <c r="M6" s="184"/>
      <c r="N6" s="8"/>
      <c r="O6" s="8"/>
      <c r="P6" s="185"/>
      <c r="T6" s="188"/>
      <c r="U6" s="189"/>
      <c r="V6" s="190"/>
    </row>
    <row r="7" spans="1:22" x14ac:dyDescent="0.2">
      <c r="B7" s="192" t="s">
        <v>26</v>
      </c>
      <c r="C7" s="193" t="s">
        <v>27</v>
      </c>
      <c r="D7" s="437" t="str">
        <f>'26-10 payroll'!B7</f>
        <v>Biarcal, Ronald Glenn</v>
      </c>
      <c r="E7" s="437"/>
      <c r="F7" s="437"/>
      <c r="G7" s="55"/>
      <c r="H7" s="194"/>
      <c r="I7" s="195"/>
      <c r="J7" s="192" t="s">
        <v>26</v>
      </c>
      <c r="K7" s="193" t="s">
        <v>27</v>
      </c>
      <c r="L7" s="437" t="str">
        <f>'26-10 payroll'!B8</f>
        <v>Sanchez, Angelo</v>
      </c>
      <c r="M7" s="437"/>
      <c r="N7" s="437"/>
      <c r="O7" s="9"/>
      <c r="P7" s="194"/>
    </row>
    <row r="8" spans="1:22" x14ac:dyDescent="0.2">
      <c r="B8" s="192" t="s">
        <v>28</v>
      </c>
      <c r="C8" s="193" t="s">
        <v>27</v>
      </c>
      <c r="D8" s="438">
        <f>'26-10 payroll'!E7</f>
        <v>527</v>
      </c>
      <c r="E8" s="438"/>
      <c r="F8" s="438"/>
      <c r="G8" s="55"/>
      <c r="H8" s="196"/>
      <c r="I8" s="195"/>
      <c r="J8" s="192" t="s">
        <v>28</v>
      </c>
      <c r="K8" s="193" t="s">
        <v>27</v>
      </c>
      <c r="L8" s="438">
        <f>'26-10 payroll'!E8</f>
        <v>527</v>
      </c>
      <c r="M8" s="438"/>
      <c r="N8" s="438"/>
      <c r="O8" s="9"/>
      <c r="P8" s="196"/>
    </row>
    <row r="9" spans="1:22" s="187" customFormat="1" x14ac:dyDescent="0.2">
      <c r="A9" s="170"/>
      <c r="B9" s="192" t="s">
        <v>29</v>
      </c>
      <c r="C9" s="193" t="s">
        <v>27</v>
      </c>
      <c r="D9" s="439" t="str">
        <f>'26-10 payroll'!D3</f>
        <v>September 28-Oct 03, 2020</v>
      </c>
      <c r="E9" s="439"/>
      <c r="F9" s="439"/>
      <c r="G9" s="55"/>
      <c r="H9" s="194"/>
      <c r="I9" s="195"/>
      <c r="J9" s="192" t="s">
        <v>29</v>
      </c>
      <c r="K9" s="193" t="s">
        <v>27</v>
      </c>
      <c r="L9" s="439" t="str">
        <f>'26-10 payroll'!D3</f>
        <v>September 28-Oct 03, 2020</v>
      </c>
      <c r="M9" s="439"/>
      <c r="N9" s="439"/>
      <c r="O9" s="9"/>
      <c r="P9" s="194"/>
      <c r="T9" s="188"/>
      <c r="U9" s="189"/>
      <c r="V9" s="190"/>
    </row>
    <row r="10" spans="1:22" s="174" customFormat="1" x14ac:dyDescent="0.2">
      <c r="A10" s="170"/>
      <c r="B10" s="197" t="s">
        <v>16</v>
      </c>
      <c r="C10" s="198"/>
      <c r="D10" s="199"/>
      <c r="E10" s="200"/>
      <c r="F10" s="201"/>
      <c r="G10" s="55"/>
      <c r="H10" s="56">
        <f>'26-10 payroll'!G7</f>
        <v>3162</v>
      </c>
      <c r="I10" s="195"/>
      <c r="J10" s="197" t="s">
        <v>16</v>
      </c>
      <c r="K10" s="198"/>
      <c r="L10" s="199"/>
      <c r="M10" s="200"/>
      <c r="N10" s="9"/>
      <c r="O10" s="9"/>
      <c r="P10" s="10">
        <f>'26-10 payroll'!G8</f>
        <v>1581</v>
      </c>
      <c r="T10" s="175"/>
      <c r="U10" s="176"/>
      <c r="V10" s="191"/>
    </row>
    <row r="11" spans="1:22" s="174" customFormat="1" x14ac:dyDescent="0.2">
      <c r="A11" s="170"/>
      <c r="B11" s="192"/>
      <c r="C11" s="198"/>
      <c r="D11" s="200" t="s">
        <v>31</v>
      </c>
      <c r="E11" s="202">
        <f>'26-10 payroll'!F7</f>
        <v>6</v>
      </c>
      <c r="F11" s="57" t="s">
        <v>90</v>
      </c>
      <c r="G11" s="55"/>
      <c r="H11" s="58"/>
      <c r="I11" s="195"/>
      <c r="J11" s="192"/>
      <c r="K11" s="198"/>
      <c r="L11" s="200" t="s">
        <v>31</v>
      </c>
      <c r="M11" s="203">
        <f>'26-10 payroll'!F8</f>
        <v>3</v>
      </c>
      <c r="N11" s="50" t="s">
        <v>90</v>
      </c>
      <c r="O11" s="9"/>
      <c r="P11" s="10"/>
      <c r="T11" s="175"/>
      <c r="U11" s="176"/>
      <c r="V11" s="191"/>
    </row>
    <row r="12" spans="1:22" s="187" customFormat="1" ht="6.75" customHeight="1" x14ac:dyDescent="0.2">
      <c r="A12" s="170"/>
      <c r="B12" s="183"/>
      <c r="C12" s="184"/>
      <c r="D12" s="184"/>
      <c r="E12" s="184"/>
      <c r="F12" s="54"/>
      <c r="G12" s="54"/>
      <c r="H12" s="185"/>
      <c r="I12" s="186"/>
      <c r="J12" s="183"/>
      <c r="K12" s="184"/>
      <c r="L12" s="184"/>
      <c r="M12" s="184"/>
      <c r="N12" s="8"/>
      <c r="O12" s="8"/>
      <c r="P12" s="185"/>
      <c r="T12" s="188"/>
      <c r="U12" s="189"/>
      <c r="V12" s="190"/>
    </row>
    <row r="13" spans="1:22" x14ac:dyDescent="0.2">
      <c r="B13" s="192" t="s">
        <v>32</v>
      </c>
      <c r="C13" s="193"/>
      <c r="D13" s="204" t="s">
        <v>33</v>
      </c>
      <c r="E13" s="205"/>
      <c r="F13" s="55">
        <f>'26-10 payroll'!P7</f>
        <v>0</v>
      </c>
      <c r="G13" s="55"/>
      <c r="H13" s="58"/>
      <c r="I13" s="195"/>
      <c r="J13" s="192" t="s">
        <v>32</v>
      </c>
      <c r="K13" s="193"/>
      <c r="L13" s="204" t="s">
        <v>33</v>
      </c>
      <c r="M13" s="205"/>
      <c r="N13" s="9">
        <f>'26-10 payroll'!P8</f>
        <v>0</v>
      </c>
      <c r="O13" s="9"/>
      <c r="P13" s="10"/>
    </row>
    <row r="14" spans="1:22" x14ac:dyDescent="0.2">
      <c r="B14" s="192"/>
      <c r="C14" s="193"/>
      <c r="D14" s="204" t="s">
        <v>95</v>
      </c>
      <c r="E14" s="205"/>
      <c r="F14" s="55">
        <f>'26-10 payroll'!H7</f>
        <v>60</v>
      </c>
      <c r="G14" s="55"/>
      <c r="H14" s="58"/>
      <c r="I14" s="195"/>
      <c r="J14" s="192"/>
      <c r="K14" s="193"/>
      <c r="L14" s="204" t="s">
        <v>95</v>
      </c>
      <c r="M14" s="205"/>
      <c r="N14" s="9">
        <f>'26-10 payroll'!H8</f>
        <v>30</v>
      </c>
      <c r="O14" s="9"/>
      <c r="P14" s="10"/>
    </row>
    <row r="15" spans="1:22" x14ac:dyDescent="0.2">
      <c r="B15" s="192"/>
      <c r="C15" s="193"/>
      <c r="D15" s="204" t="s">
        <v>34</v>
      </c>
      <c r="E15" s="205"/>
      <c r="F15" s="55">
        <f>'26-10 payroll'!R7</f>
        <v>0</v>
      </c>
      <c r="G15" s="55"/>
      <c r="H15" s="58"/>
      <c r="I15" s="195"/>
      <c r="J15" s="192"/>
      <c r="K15" s="193"/>
      <c r="L15" s="204" t="s">
        <v>34</v>
      </c>
      <c r="M15" s="205"/>
      <c r="N15" s="9">
        <f>'26-10 payroll'!R8</f>
        <v>0</v>
      </c>
      <c r="O15" s="9"/>
      <c r="P15" s="10"/>
    </row>
    <row r="16" spans="1:22" x14ac:dyDescent="0.2">
      <c r="B16" s="192"/>
      <c r="C16" s="193"/>
      <c r="D16" s="204" t="s">
        <v>35</v>
      </c>
      <c r="E16" s="205"/>
      <c r="F16" s="55">
        <f>'26-10 payroll'!T7</f>
        <v>0</v>
      </c>
      <c r="G16" s="55"/>
      <c r="H16" s="58"/>
      <c r="I16" s="195"/>
      <c r="J16" s="192"/>
      <c r="K16" s="193"/>
      <c r="L16" s="204" t="s">
        <v>35</v>
      </c>
      <c r="M16" s="205"/>
      <c r="N16" s="9">
        <f>'26-10 payroll'!T8</f>
        <v>0</v>
      </c>
      <c r="O16" s="9"/>
      <c r="P16" s="10"/>
    </row>
    <row r="17" spans="1:22" s="187" customFormat="1" x14ac:dyDescent="0.2">
      <c r="A17" s="170"/>
      <c r="B17" s="192"/>
      <c r="C17" s="193"/>
      <c r="D17" s="204" t="s">
        <v>99</v>
      </c>
      <c r="E17" s="205"/>
      <c r="F17" s="59">
        <f>'26-10 payroll'!V7+'26-10 payroll'!W7+'26-10 payroll'!O35+'26-10 payroll'!P35+'26-10 payroll'!Q35</f>
        <v>1119.5384615384614</v>
      </c>
      <c r="G17" s="55"/>
      <c r="H17" s="56">
        <f>SUM(F13:F17)</f>
        <v>1179.5384615384614</v>
      </c>
      <c r="I17" s="195"/>
      <c r="J17" s="192"/>
      <c r="K17" s="193"/>
      <c r="L17" s="204" t="s">
        <v>99</v>
      </c>
      <c r="M17" s="205"/>
      <c r="N17" s="11">
        <f>'26-10 payroll'!V8+'26-10 payroll'!W8+'26-10 payroll'!O36+'26-10 payroll'!P36+'26-10 payroll'!Q36</f>
        <v>1079.9230769230769</v>
      </c>
      <c r="O17" s="9"/>
      <c r="P17" s="10">
        <f>SUM(N13:N17)</f>
        <v>1109.9230769230769</v>
      </c>
      <c r="T17" s="188"/>
      <c r="U17" s="189"/>
      <c r="V17" s="190"/>
    </row>
    <row r="18" spans="1:22" s="174" customFormat="1" x14ac:dyDescent="0.2">
      <c r="A18" s="170"/>
      <c r="B18" s="192" t="s">
        <v>36</v>
      </c>
      <c r="C18" s="198"/>
      <c r="D18" s="198"/>
      <c r="E18" s="198"/>
      <c r="F18" s="55"/>
      <c r="G18" s="55"/>
      <c r="H18" s="58"/>
      <c r="I18" s="195"/>
      <c r="J18" s="192" t="s">
        <v>36</v>
      </c>
      <c r="K18" s="198"/>
      <c r="L18" s="198"/>
      <c r="M18" s="198"/>
      <c r="N18" s="9"/>
      <c r="O18" s="9"/>
      <c r="P18" s="10"/>
      <c r="T18" s="175"/>
      <c r="U18" s="176"/>
      <c r="V18" s="191"/>
    </row>
    <row r="19" spans="1:22" s="174" customFormat="1" x14ac:dyDescent="0.2">
      <c r="A19" s="170"/>
      <c r="B19" s="192"/>
      <c r="C19" s="198"/>
      <c r="D19" s="206" t="s">
        <v>4</v>
      </c>
      <c r="E19" s="205"/>
      <c r="F19" s="55">
        <f>'26-10 payroll'!J22</f>
        <v>0</v>
      </c>
      <c r="G19" s="55"/>
      <c r="H19" s="207"/>
      <c r="I19" s="195"/>
      <c r="J19" s="192"/>
      <c r="K19" s="198"/>
      <c r="L19" s="206" t="s">
        <v>4</v>
      </c>
      <c r="M19" s="205"/>
      <c r="N19" s="9">
        <f>'26-10 payroll'!J23</f>
        <v>0</v>
      </c>
      <c r="O19" s="9"/>
      <c r="P19" s="207"/>
      <c r="T19" s="175"/>
      <c r="U19" s="176"/>
      <c r="V19" s="191"/>
    </row>
    <row r="20" spans="1:22" s="174" customFormat="1" x14ac:dyDescent="0.2">
      <c r="A20" s="170"/>
      <c r="B20" s="192"/>
      <c r="C20" s="198"/>
      <c r="D20" s="206" t="s">
        <v>96</v>
      </c>
      <c r="E20" s="205"/>
      <c r="F20" s="55">
        <f>'26-10 payroll'!K22</f>
        <v>0</v>
      </c>
      <c r="G20" s="55"/>
      <c r="H20" s="207"/>
      <c r="I20" s="195"/>
      <c r="J20" s="192"/>
      <c r="K20" s="198"/>
      <c r="L20" s="206" t="s">
        <v>96</v>
      </c>
      <c r="M20" s="205"/>
      <c r="N20" s="9">
        <f>'26-10 payroll'!K23</f>
        <v>0</v>
      </c>
      <c r="O20" s="9"/>
      <c r="P20" s="207"/>
      <c r="T20" s="175"/>
      <c r="U20" s="176"/>
      <c r="V20" s="191"/>
    </row>
    <row r="21" spans="1:22" x14ac:dyDescent="0.2">
      <c r="B21" s="192"/>
      <c r="C21" s="198"/>
      <c r="D21" s="206" t="s">
        <v>37</v>
      </c>
      <c r="E21" s="205"/>
      <c r="F21" s="55">
        <f>'26-10 payroll'!L22</f>
        <v>0</v>
      </c>
      <c r="G21" s="55"/>
      <c r="H21" s="207"/>
      <c r="I21" s="195"/>
      <c r="J21" s="192"/>
      <c r="K21" s="198"/>
      <c r="L21" s="206" t="s">
        <v>37</v>
      </c>
      <c r="M21" s="205"/>
      <c r="N21" s="9">
        <f>'26-10 payroll'!L23</f>
        <v>0</v>
      </c>
      <c r="O21" s="9"/>
      <c r="P21" s="207"/>
    </row>
    <row r="22" spans="1:22" x14ac:dyDescent="0.2">
      <c r="B22" s="192"/>
      <c r="C22" s="198"/>
      <c r="D22" s="206" t="s">
        <v>38</v>
      </c>
      <c r="E22" s="205"/>
      <c r="F22" s="55">
        <f>'26-10 payroll'!O22</f>
        <v>0</v>
      </c>
      <c r="G22" s="55"/>
      <c r="H22" s="207"/>
      <c r="I22" s="195"/>
      <c r="J22" s="192"/>
      <c r="K22" s="198"/>
      <c r="L22" s="206" t="s">
        <v>38</v>
      </c>
      <c r="M22" s="205"/>
      <c r="N22" s="208">
        <f>'26-10 payroll'!O23</f>
        <v>0</v>
      </c>
      <c r="O22" s="9"/>
      <c r="P22" s="207"/>
    </row>
    <row r="23" spans="1:22" x14ac:dyDescent="0.2">
      <c r="B23" s="192"/>
      <c r="C23" s="198"/>
      <c r="D23" s="206" t="s">
        <v>98</v>
      </c>
      <c r="E23" s="205"/>
      <c r="F23" s="55">
        <f>+'26-10 payroll'!E56+'26-10 payroll'!F56+'26-10 payroll'!G56+'26-10 payroll'!H56</f>
        <v>0</v>
      </c>
      <c r="G23" s="55"/>
      <c r="H23" s="207"/>
      <c r="I23" s="195"/>
      <c r="J23" s="192"/>
      <c r="K23" s="198"/>
      <c r="L23" s="206" t="s">
        <v>98</v>
      </c>
      <c r="M23" s="205"/>
      <c r="N23" s="9">
        <f>+'26-10 payroll'!E57+'26-10 payroll'!F57+'26-10 payroll'!G57+'26-10 payroll'!H57</f>
        <v>0</v>
      </c>
      <c r="O23" s="9"/>
      <c r="P23" s="207"/>
    </row>
    <row r="24" spans="1:22" x14ac:dyDescent="0.2">
      <c r="B24" s="192"/>
      <c r="C24" s="198"/>
      <c r="D24" s="198" t="s">
        <v>43</v>
      </c>
      <c r="E24" s="205"/>
      <c r="F24" s="55">
        <f>'26-10 payroll'!D56</f>
        <v>0</v>
      </c>
      <c r="G24" s="55"/>
      <c r="H24" s="207"/>
      <c r="I24" s="195"/>
      <c r="J24" s="192"/>
      <c r="K24" s="198"/>
      <c r="L24" s="198" t="s">
        <v>43</v>
      </c>
      <c r="M24" s="205"/>
      <c r="N24" s="9">
        <f>'26-10 payroll'!D57</f>
        <v>0</v>
      </c>
      <c r="O24" s="9"/>
      <c r="P24" s="207"/>
    </row>
    <row r="25" spans="1:22" s="187" customFormat="1" x14ac:dyDescent="0.2">
      <c r="A25" s="170"/>
      <c r="B25" s="192"/>
      <c r="C25" s="198"/>
      <c r="D25" s="206" t="s">
        <v>39</v>
      </c>
      <c r="E25" s="205"/>
      <c r="F25" s="55">
        <f>'26-10 payroll'!H22+'26-10 payroll'!F22+'26-10 payroll'!I22</f>
        <v>0</v>
      </c>
      <c r="G25" s="55"/>
      <c r="H25" s="209"/>
      <c r="I25" s="195"/>
      <c r="J25" s="192"/>
      <c r="K25" s="198"/>
      <c r="L25" s="206" t="s">
        <v>39</v>
      </c>
      <c r="M25" s="205"/>
      <c r="N25" s="9">
        <f>'26-10 payroll'!F23+'26-10 payroll'!H23</f>
        <v>0</v>
      </c>
      <c r="O25" s="9"/>
      <c r="P25" s="209"/>
      <c r="R25" s="210"/>
      <c r="T25" s="188"/>
      <c r="U25" s="189"/>
      <c r="V25" s="190"/>
    </row>
    <row r="26" spans="1:22" s="187" customFormat="1" x14ac:dyDescent="0.2">
      <c r="A26" s="170"/>
      <c r="B26" s="192"/>
      <c r="C26" s="198"/>
      <c r="D26" s="206" t="s">
        <v>97</v>
      </c>
      <c r="E26" s="205"/>
      <c r="F26" s="55">
        <f>'26-10 payroll'!N22</f>
        <v>0</v>
      </c>
      <c r="G26" s="55"/>
      <c r="H26" s="209"/>
      <c r="I26" s="195"/>
      <c r="J26" s="192"/>
      <c r="K26" s="198"/>
      <c r="L26" s="206" t="s">
        <v>97</v>
      </c>
      <c r="M26" s="205"/>
      <c r="N26" s="9">
        <f>'26-10 payroll'!N23</f>
        <v>0</v>
      </c>
      <c r="O26" s="9"/>
      <c r="P26" s="209"/>
      <c r="R26" s="210"/>
      <c r="T26" s="188"/>
      <c r="U26" s="189"/>
      <c r="V26" s="190"/>
    </row>
    <row r="27" spans="1:22" s="187" customFormat="1" x14ac:dyDescent="0.2">
      <c r="A27" s="170"/>
      <c r="B27" s="192"/>
      <c r="C27" s="198"/>
      <c r="D27" s="198" t="s">
        <v>6</v>
      </c>
      <c r="E27" s="205"/>
      <c r="F27" s="55">
        <f>'26-10 payroll'!M22</f>
        <v>0</v>
      </c>
      <c r="G27" s="55"/>
      <c r="H27" s="211">
        <f>-SUM(F19:F27)</f>
        <v>0</v>
      </c>
      <c r="I27" s="195"/>
      <c r="J27" s="192"/>
      <c r="K27" s="198"/>
      <c r="L27" s="198" t="s">
        <v>6</v>
      </c>
      <c r="M27" s="205"/>
      <c r="N27" s="9">
        <f>'26-10 payroll'!M23</f>
        <v>0</v>
      </c>
      <c r="O27" s="9"/>
      <c r="P27" s="211">
        <f>-SUM(N19:N27)</f>
        <v>0</v>
      </c>
      <c r="T27" s="188"/>
      <c r="U27" s="189"/>
      <c r="V27" s="190"/>
    </row>
    <row r="28" spans="1:22" s="174" customFormat="1" ht="13.5" thickBot="1" x14ac:dyDescent="0.25">
      <c r="B28" s="197" t="s">
        <v>40</v>
      </c>
      <c r="C28" s="212"/>
      <c r="D28" s="212"/>
      <c r="E28" s="212"/>
      <c r="F28" s="60"/>
      <c r="G28" s="60"/>
      <c r="H28" s="213">
        <f>SUM(H10:H27)</f>
        <v>4341.538461538461</v>
      </c>
      <c r="I28" s="214"/>
      <c r="J28" s="197" t="s">
        <v>40</v>
      </c>
      <c r="K28" s="212"/>
      <c r="L28" s="212"/>
      <c r="M28" s="212"/>
      <c r="N28" s="12"/>
      <c r="O28" s="12"/>
      <c r="P28" s="213">
        <f>SUM(P10:P27)</f>
        <v>2690.9230769230771</v>
      </c>
      <c r="R28" s="215"/>
      <c r="T28" s="216">
        <f>+H28-'26-10 payroll'!S35</f>
        <v>642.30769230769192</v>
      </c>
      <c r="U28" s="217"/>
      <c r="V28" s="218">
        <f>+P28-'26-10 payroll'!S36</f>
        <v>849.15384615384642</v>
      </c>
    </row>
    <row r="29" spans="1:22" s="187" customFormat="1" ht="13.5" thickTop="1" x14ac:dyDescent="0.2">
      <c r="A29" s="170"/>
      <c r="B29" s="192" t="s">
        <v>41</v>
      </c>
      <c r="C29" s="198"/>
      <c r="D29" s="198"/>
      <c r="E29" s="198"/>
      <c r="F29" s="55"/>
      <c r="G29" s="55"/>
      <c r="H29" s="194"/>
      <c r="I29" s="195"/>
      <c r="J29" s="192" t="s">
        <v>41</v>
      </c>
      <c r="K29" s="198"/>
      <c r="L29" s="198"/>
      <c r="M29" s="198"/>
      <c r="N29" s="9"/>
      <c r="O29" s="9"/>
      <c r="P29" s="194"/>
      <c r="T29" s="188"/>
      <c r="U29" s="189"/>
      <c r="V29" s="190"/>
    </row>
    <row r="30" spans="1:22" s="174" customFormat="1" x14ac:dyDescent="0.2">
      <c r="A30" s="170"/>
      <c r="B30" s="192"/>
      <c r="C30" s="198"/>
      <c r="D30" s="198"/>
      <c r="E30" s="198"/>
      <c r="F30" s="55"/>
      <c r="G30" s="55"/>
      <c r="H30" s="194"/>
      <c r="I30" s="195"/>
      <c r="J30" s="192"/>
      <c r="K30" s="198"/>
      <c r="L30" s="198"/>
      <c r="M30" s="198"/>
      <c r="N30" s="9"/>
      <c r="O30" s="9"/>
      <c r="P30" s="194"/>
      <c r="T30" s="175"/>
      <c r="U30" s="176"/>
      <c r="V30" s="191"/>
    </row>
    <row r="31" spans="1:22" s="174" customFormat="1" x14ac:dyDescent="0.2">
      <c r="A31" s="170"/>
      <c r="B31" s="192" t="s">
        <v>42</v>
      </c>
      <c r="C31" s="198"/>
      <c r="D31" s="198"/>
      <c r="E31" s="198"/>
      <c r="F31" s="61"/>
      <c r="G31" s="61"/>
      <c r="H31" s="194"/>
      <c r="I31" s="219"/>
      <c r="J31" s="192" t="s">
        <v>42</v>
      </c>
      <c r="K31" s="198"/>
      <c r="L31" s="198"/>
      <c r="M31" s="198"/>
      <c r="N31" s="13"/>
      <c r="O31" s="13"/>
      <c r="P31" s="194"/>
      <c r="T31" s="175"/>
      <c r="U31" s="176"/>
      <c r="V31" s="191"/>
    </row>
    <row r="32" spans="1:22" ht="13.5" thickBot="1" x14ac:dyDescent="0.25">
      <c r="B32" s="220"/>
      <c r="C32" s="221"/>
      <c r="D32" s="221"/>
      <c r="E32" s="221"/>
      <c r="F32" s="52"/>
      <c r="G32" s="52"/>
      <c r="H32" s="222"/>
      <c r="I32" s="223"/>
      <c r="J32" s="224"/>
      <c r="K32" s="225"/>
      <c r="L32" s="225"/>
      <c r="M32" s="225"/>
      <c r="N32" s="14"/>
      <c r="O32" s="14"/>
      <c r="P32" s="226"/>
    </row>
    <row r="33" spans="2:17" x14ac:dyDescent="0.2">
      <c r="J33" s="170"/>
      <c r="K33" s="228"/>
      <c r="L33" s="228"/>
      <c r="M33" s="228"/>
      <c r="N33" s="7"/>
      <c r="O33" s="7"/>
      <c r="P33" s="228"/>
    </row>
    <row r="34" spans="2:17" ht="13.5" thickBot="1" x14ac:dyDescent="0.25">
      <c r="B34" s="171">
        <v>3</v>
      </c>
      <c r="C34" s="172"/>
      <c r="D34" s="172"/>
      <c r="E34" s="172"/>
      <c r="F34" s="172"/>
      <c r="G34" s="172"/>
      <c r="H34" s="172"/>
      <c r="J34" s="173">
        <v>4</v>
      </c>
    </row>
    <row r="35" spans="2:17" x14ac:dyDescent="0.2">
      <c r="B35" s="440" t="str">
        <f>'26-10 payroll'!A1</f>
        <v>THE OLD SPAGHETTI HOUSE</v>
      </c>
      <c r="C35" s="441"/>
      <c r="D35" s="441"/>
      <c r="E35" s="441"/>
      <c r="F35" s="441"/>
      <c r="G35" s="441"/>
      <c r="H35" s="442"/>
      <c r="I35" s="178"/>
      <c r="J35" s="440" t="str">
        <f>'26-10 payroll'!A1</f>
        <v>THE OLD SPAGHETTI HOUSE</v>
      </c>
      <c r="K35" s="441"/>
      <c r="L35" s="441"/>
      <c r="M35" s="441"/>
      <c r="N35" s="441"/>
      <c r="O35" s="441"/>
      <c r="P35" s="442"/>
    </row>
    <row r="36" spans="2:17" x14ac:dyDescent="0.2">
      <c r="B36" s="443" t="str">
        <f>'26-10 payroll'!D2</f>
        <v>VALERO</v>
      </c>
      <c r="C36" s="444"/>
      <c r="D36" s="444"/>
      <c r="E36" s="444"/>
      <c r="F36" s="444"/>
      <c r="G36" s="444"/>
      <c r="H36" s="445"/>
      <c r="I36" s="178"/>
      <c r="J36" s="443" t="str">
        <f>'26-10 payroll'!D2</f>
        <v>VALERO</v>
      </c>
      <c r="K36" s="444"/>
      <c r="L36" s="444"/>
      <c r="M36" s="444"/>
      <c r="N36" s="444"/>
      <c r="O36" s="444"/>
      <c r="P36" s="445"/>
      <c r="Q36" s="179"/>
    </row>
    <row r="37" spans="2:17" x14ac:dyDescent="0.2">
      <c r="B37" s="183"/>
      <c r="C37" s="184"/>
      <c r="D37" s="184"/>
      <c r="E37" s="184"/>
      <c r="F37" s="54"/>
      <c r="G37" s="54"/>
      <c r="H37" s="185"/>
      <c r="I37" s="186"/>
      <c r="J37" s="183"/>
      <c r="K37" s="184"/>
      <c r="L37" s="184"/>
      <c r="M37" s="184"/>
      <c r="N37" s="8"/>
      <c r="O37" s="8"/>
      <c r="P37" s="185"/>
      <c r="Q37" s="187"/>
    </row>
    <row r="38" spans="2:17" x14ac:dyDescent="0.2">
      <c r="B38" s="446" t="s">
        <v>25</v>
      </c>
      <c r="C38" s="447"/>
      <c r="D38" s="447"/>
      <c r="E38" s="447"/>
      <c r="F38" s="447"/>
      <c r="G38" s="447"/>
      <c r="H38" s="448"/>
      <c r="I38" s="178"/>
      <c r="J38" s="446" t="s">
        <v>25</v>
      </c>
      <c r="K38" s="447"/>
      <c r="L38" s="447"/>
      <c r="M38" s="447"/>
      <c r="N38" s="447"/>
      <c r="O38" s="447"/>
      <c r="P38" s="448"/>
      <c r="Q38" s="174"/>
    </row>
    <row r="39" spans="2:17" x14ac:dyDescent="0.2">
      <c r="B39" s="183"/>
      <c r="C39" s="184"/>
      <c r="D39" s="184"/>
      <c r="E39" s="184"/>
      <c r="F39" s="54"/>
      <c r="G39" s="54"/>
      <c r="H39" s="185"/>
      <c r="I39" s="186"/>
      <c r="J39" s="183"/>
      <c r="K39" s="184"/>
      <c r="L39" s="184"/>
      <c r="M39" s="184"/>
      <c r="N39" s="8"/>
      <c r="O39" s="8"/>
      <c r="P39" s="185"/>
      <c r="Q39" s="187"/>
    </row>
    <row r="40" spans="2:17" x14ac:dyDescent="0.2">
      <c r="B40" s="192" t="s">
        <v>26</v>
      </c>
      <c r="C40" s="193" t="s">
        <v>27</v>
      </c>
      <c r="D40" s="437" t="str">
        <f>'26-10 payroll'!B24</f>
        <v>Dino, Joyce</v>
      </c>
      <c r="E40" s="437"/>
      <c r="F40" s="437"/>
      <c r="G40" s="55"/>
      <c r="H40" s="194"/>
      <c r="I40" s="195"/>
      <c r="J40" s="192" t="s">
        <v>26</v>
      </c>
      <c r="K40" s="193" t="s">
        <v>27</v>
      </c>
      <c r="L40" s="436" t="str">
        <f>'26-10 payroll'!B10</f>
        <v xml:space="preserve">Sosa, Anna Marie </v>
      </c>
      <c r="M40" s="437"/>
      <c r="N40" s="437"/>
      <c r="O40" s="9"/>
      <c r="P40" s="194"/>
    </row>
    <row r="41" spans="2:17" x14ac:dyDescent="0.2">
      <c r="B41" s="192" t="s">
        <v>28</v>
      </c>
      <c r="C41" s="193" t="s">
        <v>27</v>
      </c>
      <c r="D41" s="438">
        <f>'26-10 payroll'!E9</f>
        <v>790.23076923076928</v>
      </c>
      <c r="E41" s="438"/>
      <c r="F41" s="438"/>
      <c r="G41" s="55"/>
      <c r="H41" s="196"/>
      <c r="I41" s="195"/>
      <c r="J41" s="192" t="s">
        <v>28</v>
      </c>
      <c r="K41" s="193" t="s">
        <v>27</v>
      </c>
      <c r="L41" s="438">
        <f>'26-10 payroll'!E10</f>
        <v>527</v>
      </c>
      <c r="M41" s="438"/>
      <c r="N41" s="438"/>
      <c r="O41" s="9"/>
      <c r="P41" s="196"/>
    </row>
    <row r="42" spans="2:17" x14ac:dyDescent="0.2">
      <c r="B42" s="192" t="s">
        <v>29</v>
      </c>
      <c r="C42" s="193" t="s">
        <v>27</v>
      </c>
      <c r="D42" s="439" t="str">
        <f>'26-10 payroll'!D3</f>
        <v>September 28-Oct 03, 2020</v>
      </c>
      <c r="E42" s="439"/>
      <c r="F42" s="439"/>
      <c r="G42" s="55"/>
      <c r="H42" s="194"/>
      <c r="I42" s="195"/>
      <c r="J42" s="192" t="s">
        <v>29</v>
      </c>
      <c r="K42" s="193" t="s">
        <v>27</v>
      </c>
      <c r="L42" s="439" t="str">
        <f>'26-10 payroll'!D3</f>
        <v>September 28-Oct 03, 2020</v>
      </c>
      <c r="M42" s="439"/>
      <c r="N42" s="439"/>
      <c r="O42" s="9"/>
      <c r="P42" s="194"/>
      <c r="Q42" s="187"/>
    </row>
    <row r="43" spans="2:17" x14ac:dyDescent="0.2">
      <c r="B43" s="197" t="s">
        <v>16</v>
      </c>
      <c r="C43" s="198"/>
      <c r="D43" s="199"/>
      <c r="E43" s="200"/>
      <c r="F43" s="201"/>
      <c r="G43" s="55"/>
      <c r="H43" s="56">
        <f>'26-10 payroll'!G9</f>
        <v>0</v>
      </c>
      <c r="I43" s="195"/>
      <c r="J43" s="197" t="s">
        <v>16</v>
      </c>
      <c r="K43" s="198"/>
      <c r="L43" s="199"/>
      <c r="M43" s="200"/>
      <c r="N43" s="9"/>
      <c r="O43" s="9"/>
      <c r="P43" s="10">
        <f>'26-10 payroll'!G10</f>
        <v>3162</v>
      </c>
      <c r="Q43" s="174"/>
    </row>
    <row r="44" spans="2:17" x14ac:dyDescent="0.2">
      <c r="B44" s="192"/>
      <c r="C44" s="198"/>
      <c r="D44" s="200" t="s">
        <v>31</v>
      </c>
      <c r="E44" s="202">
        <f>'26-10 payroll'!F9</f>
        <v>0</v>
      </c>
      <c r="F44" s="57" t="s">
        <v>90</v>
      </c>
      <c r="G44" s="55"/>
      <c r="H44" s="58"/>
      <c r="I44" s="195"/>
      <c r="J44" s="192"/>
      <c r="K44" s="198"/>
      <c r="L44" s="200" t="s">
        <v>31</v>
      </c>
      <c r="M44" s="203">
        <f>'26-10 payroll'!F10</f>
        <v>6</v>
      </c>
      <c r="N44" s="50" t="s">
        <v>90</v>
      </c>
      <c r="O44" s="9"/>
      <c r="P44" s="10"/>
      <c r="Q44" s="174"/>
    </row>
    <row r="45" spans="2:17" x14ac:dyDescent="0.2">
      <c r="B45" s="183"/>
      <c r="C45" s="184"/>
      <c r="D45" s="184"/>
      <c r="E45" s="184"/>
      <c r="F45" s="54"/>
      <c r="G45" s="54"/>
      <c r="H45" s="185"/>
      <c r="I45" s="186"/>
      <c r="J45" s="183"/>
      <c r="K45" s="184"/>
      <c r="L45" s="184"/>
      <c r="M45" s="184"/>
      <c r="N45" s="8"/>
      <c r="O45" s="8"/>
      <c r="P45" s="185"/>
      <c r="Q45" s="187"/>
    </row>
    <row r="46" spans="2:17" x14ac:dyDescent="0.2">
      <c r="B46" s="192" t="s">
        <v>32</v>
      </c>
      <c r="C46" s="193"/>
      <c r="D46" s="204" t="s">
        <v>33</v>
      </c>
      <c r="E46" s="205"/>
      <c r="F46" s="55">
        <f>'26-10 payroll'!P9</f>
        <v>0</v>
      </c>
      <c r="G46" s="55"/>
      <c r="H46" s="58"/>
      <c r="I46" s="195"/>
      <c r="J46" s="192" t="s">
        <v>32</v>
      </c>
      <c r="K46" s="193"/>
      <c r="L46" s="204" t="s">
        <v>33</v>
      </c>
      <c r="M46" s="205"/>
      <c r="N46" s="9">
        <f>'26-10 payroll'!P10</f>
        <v>0</v>
      </c>
      <c r="O46" s="9"/>
      <c r="P46" s="10"/>
    </row>
    <row r="47" spans="2:17" x14ac:dyDescent="0.2">
      <c r="B47" s="192"/>
      <c r="C47" s="193"/>
      <c r="D47" s="204" t="s">
        <v>95</v>
      </c>
      <c r="E47" s="205"/>
      <c r="F47" s="55">
        <f>'26-10 payroll'!H9</f>
        <v>0</v>
      </c>
      <c r="G47" s="55"/>
      <c r="H47" s="58"/>
      <c r="I47" s="195"/>
      <c r="J47" s="192"/>
      <c r="K47" s="193"/>
      <c r="L47" s="204" t="s">
        <v>95</v>
      </c>
      <c r="M47" s="205"/>
      <c r="N47" s="9">
        <f>'26-10 payroll'!H10</f>
        <v>60</v>
      </c>
      <c r="O47" s="9"/>
      <c r="P47" s="10"/>
    </row>
    <row r="48" spans="2:17" x14ac:dyDescent="0.2">
      <c r="B48" s="192"/>
      <c r="C48" s="193"/>
      <c r="D48" s="204" t="s">
        <v>34</v>
      </c>
      <c r="E48" s="205"/>
      <c r="F48" s="55">
        <f>'26-10 payroll'!R9</f>
        <v>0</v>
      </c>
      <c r="G48" s="55"/>
      <c r="H48" s="58"/>
      <c r="I48" s="195"/>
      <c r="J48" s="192"/>
      <c r="K48" s="193"/>
      <c r="L48" s="204" t="s">
        <v>34</v>
      </c>
      <c r="M48" s="205"/>
      <c r="N48" s="9">
        <f>'26-10 payroll'!R10</f>
        <v>0</v>
      </c>
      <c r="O48" s="9"/>
      <c r="P48" s="10"/>
    </row>
    <row r="49" spans="1:22" x14ac:dyDescent="0.2">
      <c r="B49" s="192"/>
      <c r="C49" s="193"/>
      <c r="D49" s="204" t="s">
        <v>35</v>
      </c>
      <c r="E49" s="205"/>
      <c r="F49" s="55">
        <f>'26-10 payroll'!T9</f>
        <v>0</v>
      </c>
      <c r="G49" s="55"/>
      <c r="H49" s="58"/>
      <c r="I49" s="195"/>
      <c r="J49" s="192"/>
      <c r="K49" s="193"/>
      <c r="L49" s="204" t="s">
        <v>35</v>
      </c>
      <c r="M49" s="205"/>
      <c r="N49" s="9">
        <f>'26-10 payroll'!T10</f>
        <v>0</v>
      </c>
      <c r="O49" s="9"/>
      <c r="P49" s="10"/>
    </row>
    <row r="50" spans="1:22" x14ac:dyDescent="0.2">
      <c r="B50" s="192"/>
      <c r="C50" s="193"/>
      <c r="D50" s="204" t="s">
        <v>99</v>
      </c>
      <c r="E50" s="205"/>
      <c r="F50" s="59">
        <f>'26-10 payroll'!V9+'26-10 payroll'!W9+'26-10 payroll'!O37+'26-10 payroll'!P37+'26-10 payroll'!Q37</f>
        <v>1400</v>
      </c>
      <c r="G50" s="55"/>
      <c r="H50" s="56">
        <f>SUM(F46:F50)</f>
        <v>1400</v>
      </c>
      <c r="I50" s="195"/>
      <c r="J50" s="192"/>
      <c r="K50" s="193"/>
      <c r="L50" s="204" t="s">
        <v>99</v>
      </c>
      <c r="M50" s="205"/>
      <c r="N50" s="11">
        <f>'26-10 payroll'!W10+'26-10 payroll'!V10+'26-10 payroll'!O38+'26-10 payroll'!P38+'26-10 payroll'!Q38</f>
        <v>1119.5384615384614</v>
      </c>
      <c r="O50" s="9"/>
      <c r="P50" s="10">
        <f>SUM(N46:N50)</f>
        <v>1179.5384615384614</v>
      </c>
      <c r="Q50" s="187"/>
    </row>
    <row r="51" spans="1:22" x14ac:dyDescent="0.2">
      <c r="B51" s="192" t="s">
        <v>36</v>
      </c>
      <c r="C51" s="198"/>
      <c r="D51" s="198"/>
      <c r="E51" s="198"/>
      <c r="F51" s="55"/>
      <c r="G51" s="55"/>
      <c r="H51" s="58"/>
      <c r="I51" s="195"/>
      <c r="J51" s="192" t="s">
        <v>36</v>
      </c>
      <c r="K51" s="198"/>
      <c r="L51" s="198"/>
      <c r="M51" s="198"/>
      <c r="N51" s="9"/>
      <c r="O51" s="9"/>
      <c r="P51" s="10"/>
      <c r="Q51" s="174"/>
    </row>
    <row r="52" spans="1:22" x14ac:dyDescent="0.2">
      <c r="B52" s="192"/>
      <c r="C52" s="198"/>
      <c r="D52" s="206" t="s">
        <v>4</v>
      </c>
      <c r="E52" s="205"/>
      <c r="F52" s="55">
        <f>'26-10 payroll'!J24</f>
        <v>0</v>
      </c>
      <c r="G52" s="55"/>
      <c r="H52" s="207"/>
      <c r="I52" s="195"/>
      <c r="J52" s="192"/>
      <c r="K52" s="198"/>
      <c r="L52" s="206" t="s">
        <v>4</v>
      </c>
      <c r="M52" s="205"/>
      <c r="N52" s="9">
        <f>'26-10 payroll'!J25</f>
        <v>0</v>
      </c>
      <c r="O52" s="9"/>
      <c r="P52" s="207"/>
      <c r="Q52" s="174"/>
    </row>
    <row r="53" spans="1:22" x14ac:dyDescent="0.2">
      <c r="B53" s="192"/>
      <c r="C53" s="198"/>
      <c r="D53" s="206" t="s">
        <v>96</v>
      </c>
      <c r="E53" s="205"/>
      <c r="F53" s="55">
        <f>'26-10 payroll'!K24</f>
        <v>0</v>
      </c>
      <c r="G53" s="55"/>
      <c r="H53" s="207"/>
      <c r="I53" s="195"/>
      <c r="J53" s="192"/>
      <c r="K53" s="198"/>
      <c r="L53" s="206" t="s">
        <v>96</v>
      </c>
      <c r="M53" s="205"/>
      <c r="N53" s="9">
        <f>'26-10 payroll'!K25</f>
        <v>0</v>
      </c>
      <c r="O53" s="9"/>
      <c r="P53" s="207"/>
      <c r="Q53" s="174"/>
    </row>
    <row r="54" spans="1:22" x14ac:dyDescent="0.2">
      <c r="B54" s="192"/>
      <c r="C54" s="198"/>
      <c r="D54" s="206" t="s">
        <v>37</v>
      </c>
      <c r="E54" s="205"/>
      <c r="F54" s="55">
        <f>'26-10 payroll'!L24</f>
        <v>0</v>
      </c>
      <c r="G54" s="55"/>
      <c r="H54" s="207"/>
      <c r="I54" s="195"/>
      <c r="J54" s="192"/>
      <c r="K54" s="198"/>
      <c r="L54" s="206" t="s">
        <v>37</v>
      </c>
      <c r="M54" s="205"/>
      <c r="N54" s="9">
        <f>'26-10 payroll'!L25</f>
        <v>0</v>
      </c>
      <c r="O54" s="9"/>
      <c r="P54" s="207"/>
    </row>
    <row r="55" spans="1:22" x14ac:dyDescent="0.2">
      <c r="B55" s="192"/>
      <c r="C55" s="198"/>
      <c r="D55" s="206" t="s">
        <v>38</v>
      </c>
      <c r="E55" s="205"/>
      <c r="F55" s="55">
        <f>'26-10 payroll'!O24</f>
        <v>0</v>
      </c>
      <c r="G55" s="55"/>
      <c r="H55" s="207"/>
      <c r="I55" s="195"/>
      <c r="J55" s="192"/>
      <c r="K55" s="198"/>
      <c r="L55" s="206" t="s">
        <v>38</v>
      </c>
      <c r="M55" s="205"/>
      <c r="N55" s="208">
        <f>'26-10 payroll'!O25</f>
        <v>0</v>
      </c>
      <c r="O55" s="9"/>
      <c r="P55" s="207"/>
    </row>
    <row r="56" spans="1:22" x14ac:dyDescent="0.2">
      <c r="B56" s="192"/>
      <c r="C56" s="198"/>
      <c r="D56" s="206" t="s">
        <v>98</v>
      </c>
      <c r="E56" s="205"/>
      <c r="F56" s="55">
        <f>+'26-10 payroll'!E58+'26-10 payroll'!F58+'26-10 payroll'!G58+'26-10 payroll'!H58</f>
        <v>0</v>
      </c>
      <c r="G56" s="55"/>
      <c r="H56" s="207"/>
      <c r="I56" s="195"/>
      <c r="J56" s="192"/>
      <c r="K56" s="198"/>
      <c r="L56" s="206" t="s">
        <v>98</v>
      </c>
      <c r="M56" s="205"/>
      <c r="N56" s="9">
        <f>+'26-10 payroll'!E59+'26-10 payroll'!F59+'26-10 payroll'!G59+'26-10 payroll'!H59</f>
        <v>0</v>
      </c>
      <c r="O56" s="9"/>
      <c r="P56" s="207"/>
    </row>
    <row r="57" spans="1:22" x14ac:dyDescent="0.2">
      <c r="B57" s="192"/>
      <c r="C57" s="198"/>
      <c r="D57" s="198" t="s">
        <v>43</v>
      </c>
      <c r="E57" s="205"/>
      <c r="F57" s="55">
        <f>'26-10 payroll'!D58</f>
        <v>0</v>
      </c>
      <c r="G57" s="55"/>
      <c r="H57" s="207"/>
      <c r="I57" s="195"/>
      <c r="J57" s="192"/>
      <c r="K57" s="198"/>
      <c r="L57" s="198" t="s">
        <v>43</v>
      </c>
      <c r="M57" s="205"/>
      <c r="N57" s="9">
        <f>'26-10 payroll'!D59</f>
        <v>0</v>
      </c>
      <c r="O57" s="9"/>
      <c r="P57" s="207"/>
    </row>
    <row r="58" spans="1:22" x14ac:dyDescent="0.2">
      <c r="B58" s="192"/>
      <c r="C58" s="198"/>
      <c r="D58" s="206" t="s">
        <v>39</v>
      </c>
      <c r="E58" s="205"/>
      <c r="F58" s="55">
        <f>'26-10 payroll'!F24+'26-10 payroll'!H24</f>
        <v>0</v>
      </c>
      <c r="G58" s="55"/>
      <c r="H58" s="209"/>
      <c r="I58" s="195"/>
      <c r="J58" s="192"/>
      <c r="K58" s="198"/>
      <c r="L58" s="206" t="s">
        <v>39</v>
      </c>
      <c r="M58" s="205"/>
      <c r="N58" s="9">
        <f>'26-10 payroll'!F25+'26-10 payroll'!H25</f>
        <v>0</v>
      </c>
      <c r="O58" s="9"/>
      <c r="P58" s="209"/>
      <c r="Q58" s="187"/>
    </row>
    <row r="59" spans="1:22" x14ac:dyDescent="0.2">
      <c r="B59" s="192"/>
      <c r="C59" s="198"/>
      <c r="D59" s="206" t="s">
        <v>97</v>
      </c>
      <c r="E59" s="205"/>
      <c r="F59" s="55">
        <f>'26-10 payroll'!N24</f>
        <v>0</v>
      </c>
      <c r="G59" s="55"/>
      <c r="H59" s="209"/>
      <c r="I59" s="195"/>
      <c r="J59" s="192"/>
      <c r="K59" s="198"/>
      <c r="L59" s="206" t="s">
        <v>97</v>
      </c>
      <c r="M59" s="205"/>
      <c r="N59" s="9">
        <f>'26-10 payroll'!N25</f>
        <v>0</v>
      </c>
      <c r="O59" s="9"/>
      <c r="P59" s="209"/>
      <c r="Q59" s="187"/>
    </row>
    <row r="60" spans="1:22" x14ac:dyDescent="0.2">
      <c r="B60" s="192"/>
      <c r="C60" s="198"/>
      <c r="D60" s="198" t="s">
        <v>6</v>
      </c>
      <c r="E60" s="205"/>
      <c r="F60" s="55">
        <f>'26-10 payroll'!M24</f>
        <v>0</v>
      </c>
      <c r="G60" s="55"/>
      <c r="H60" s="211">
        <f>-SUM(F52:F60)</f>
        <v>0</v>
      </c>
      <c r="I60" s="195"/>
      <c r="J60" s="192"/>
      <c r="K60" s="198"/>
      <c r="L60" s="198" t="s">
        <v>6</v>
      </c>
      <c r="M60" s="205"/>
      <c r="N60" s="9">
        <f>'26-10 payroll'!M25</f>
        <v>0</v>
      </c>
      <c r="O60" s="9"/>
      <c r="P60" s="211">
        <f>-SUM(N52:N60)</f>
        <v>0</v>
      </c>
      <c r="Q60" s="187"/>
    </row>
    <row r="61" spans="1:22" ht="13.5" thickBot="1" x14ac:dyDescent="0.25">
      <c r="A61" s="174"/>
      <c r="B61" s="197" t="s">
        <v>40</v>
      </c>
      <c r="C61" s="212"/>
      <c r="D61" s="212"/>
      <c r="E61" s="212"/>
      <c r="F61" s="60"/>
      <c r="G61" s="60"/>
      <c r="H61" s="213">
        <f>SUM(H43:H60)</f>
        <v>1400</v>
      </c>
      <c r="I61" s="214"/>
      <c r="J61" s="197" t="s">
        <v>40</v>
      </c>
      <c r="K61" s="212"/>
      <c r="L61" s="212"/>
      <c r="M61" s="212"/>
      <c r="N61" s="12"/>
      <c r="O61" s="12"/>
      <c r="P61" s="213">
        <f>SUM(P43:P60)</f>
        <v>4341.538461538461</v>
      </c>
      <c r="Q61" s="174"/>
      <c r="T61" s="216">
        <f>+H61-'26-10 payroll'!S37</f>
        <v>1400</v>
      </c>
      <c r="V61" s="237">
        <f>+P61-'26-10 payroll'!S38</f>
        <v>642.30769230769192</v>
      </c>
    </row>
    <row r="62" spans="1:22" ht="13.5" thickTop="1" x14ac:dyDescent="0.2">
      <c r="B62" s="192" t="s">
        <v>41</v>
      </c>
      <c r="C62" s="198"/>
      <c r="D62" s="198"/>
      <c r="E62" s="198"/>
      <c r="F62" s="55"/>
      <c r="G62" s="55"/>
      <c r="H62" s="194"/>
      <c r="I62" s="195"/>
      <c r="J62" s="192" t="s">
        <v>41</v>
      </c>
      <c r="K62" s="198"/>
      <c r="L62" s="198"/>
      <c r="M62" s="198"/>
      <c r="N62" s="9"/>
      <c r="O62" s="9"/>
      <c r="P62" s="194"/>
      <c r="Q62" s="187"/>
    </row>
    <row r="63" spans="1:22" x14ac:dyDescent="0.2">
      <c r="B63" s="192"/>
      <c r="C63" s="198"/>
      <c r="D63" s="198"/>
      <c r="E63" s="198"/>
      <c r="F63" s="55"/>
      <c r="G63" s="55"/>
      <c r="H63" s="194"/>
      <c r="I63" s="195"/>
      <c r="J63" s="192"/>
      <c r="K63" s="198"/>
      <c r="L63" s="198"/>
      <c r="M63" s="198"/>
      <c r="N63" s="9"/>
      <c r="O63" s="9"/>
      <c r="P63" s="194"/>
      <c r="Q63" s="174"/>
    </row>
    <row r="64" spans="1:22" x14ac:dyDescent="0.2">
      <c r="B64" s="192" t="s">
        <v>42</v>
      </c>
      <c r="C64" s="198"/>
      <c r="D64" s="198"/>
      <c r="E64" s="198"/>
      <c r="F64" s="61"/>
      <c r="G64" s="61"/>
      <c r="H64" s="194"/>
      <c r="I64" s="219"/>
      <c r="J64" s="192" t="s">
        <v>42</v>
      </c>
      <c r="K64" s="198"/>
      <c r="L64" s="198"/>
      <c r="M64" s="198"/>
      <c r="N64" s="13"/>
      <c r="O64" s="13"/>
      <c r="P64" s="194"/>
      <c r="Q64" s="174"/>
    </row>
    <row r="65" spans="2:17" ht="13.5" thickBot="1" x14ac:dyDescent="0.25">
      <c r="B65" s="229"/>
      <c r="C65" s="230"/>
      <c r="D65" s="230"/>
      <c r="E65" s="230"/>
      <c r="F65" s="62"/>
      <c r="G65" s="62"/>
      <c r="H65" s="231"/>
      <c r="I65" s="223"/>
      <c r="J65" s="224"/>
      <c r="K65" s="225"/>
      <c r="L65" s="225"/>
      <c r="M65" s="225"/>
      <c r="N65" s="14"/>
      <c r="O65" s="14"/>
      <c r="P65" s="226"/>
    </row>
    <row r="66" spans="2:17" x14ac:dyDescent="0.2">
      <c r="J66" s="170"/>
      <c r="K66" s="228"/>
      <c r="L66" s="228"/>
      <c r="M66" s="228"/>
      <c r="N66" s="7"/>
      <c r="O66" s="7"/>
      <c r="P66" s="228"/>
    </row>
    <row r="67" spans="2:17" ht="13.5" thickBot="1" x14ac:dyDescent="0.25">
      <c r="B67" s="171">
        <v>5</v>
      </c>
      <c r="C67" s="172"/>
      <c r="D67" s="172"/>
      <c r="E67" s="172"/>
      <c r="F67" s="172"/>
      <c r="G67" s="172"/>
      <c r="H67" s="172"/>
      <c r="J67" s="173">
        <v>6</v>
      </c>
    </row>
    <row r="68" spans="2:17" x14ac:dyDescent="0.2">
      <c r="B68" s="440" t="str">
        <f>'26-10 payroll'!A1</f>
        <v>THE OLD SPAGHETTI HOUSE</v>
      </c>
      <c r="C68" s="441"/>
      <c r="D68" s="441"/>
      <c r="E68" s="441"/>
      <c r="F68" s="441"/>
      <c r="G68" s="441"/>
      <c r="H68" s="442"/>
      <c r="I68" s="178"/>
      <c r="J68" s="440" t="str">
        <f>'26-10 payroll'!A1</f>
        <v>THE OLD SPAGHETTI HOUSE</v>
      </c>
      <c r="K68" s="441"/>
      <c r="L68" s="441"/>
      <c r="M68" s="441"/>
      <c r="N68" s="441"/>
      <c r="O68" s="441"/>
      <c r="P68" s="442"/>
    </row>
    <row r="69" spans="2:17" x14ac:dyDescent="0.2">
      <c r="B69" s="443" t="str">
        <f>'26-10 payroll'!D2</f>
        <v>VALERO</v>
      </c>
      <c r="C69" s="444"/>
      <c r="D69" s="444"/>
      <c r="E69" s="444"/>
      <c r="F69" s="444"/>
      <c r="G69" s="444"/>
      <c r="H69" s="445"/>
      <c r="I69" s="178"/>
      <c r="J69" s="443" t="str">
        <f>'26-10 payroll'!D2</f>
        <v>VALERO</v>
      </c>
      <c r="K69" s="444"/>
      <c r="L69" s="444"/>
      <c r="M69" s="444"/>
      <c r="N69" s="444"/>
      <c r="O69" s="444"/>
      <c r="P69" s="445"/>
      <c r="Q69" s="179"/>
    </row>
    <row r="70" spans="2:17" x14ac:dyDescent="0.2">
      <c r="B70" s="183"/>
      <c r="C70" s="184"/>
      <c r="D70" s="184"/>
      <c r="E70" s="184"/>
      <c r="F70" s="54"/>
      <c r="G70" s="54"/>
      <c r="H70" s="185"/>
      <c r="I70" s="186"/>
      <c r="J70" s="183"/>
      <c r="K70" s="184"/>
      <c r="L70" s="184"/>
      <c r="M70" s="184"/>
      <c r="N70" s="8"/>
      <c r="O70" s="8"/>
      <c r="P70" s="185"/>
      <c r="Q70" s="187"/>
    </row>
    <row r="71" spans="2:17" x14ac:dyDescent="0.2">
      <c r="B71" s="446" t="s">
        <v>25</v>
      </c>
      <c r="C71" s="447"/>
      <c r="D71" s="447"/>
      <c r="E71" s="447"/>
      <c r="F71" s="447"/>
      <c r="G71" s="447"/>
      <c r="H71" s="448"/>
      <c r="I71" s="178"/>
      <c r="J71" s="446" t="s">
        <v>25</v>
      </c>
      <c r="K71" s="447"/>
      <c r="L71" s="447"/>
      <c r="M71" s="447"/>
      <c r="N71" s="447"/>
      <c r="O71" s="447"/>
      <c r="P71" s="448"/>
      <c r="Q71" s="174"/>
    </row>
    <row r="72" spans="2:17" x14ac:dyDescent="0.2">
      <c r="B72" s="183"/>
      <c r="C72" s="184"/>
      <c r="D72" s="184"/>
      <c r="E72" s="184"/>
      <c r="F72" s="54"/>
      <c r="G72" s="54"/>
      <c r="H72" s="185"/>
      <c r="I72" s="186"/>
      <c r="J72" s="183"/>
      <c r="K72" s="184"/>
      <c r="L72" s="184"/>
      <c r="M72" s="184"/>
      <c r="N72" s="8"/>
      <c r="O72" s="8"/>
      <c r="P72" s="185"/>
      <c r="Q72" s="187"/>
    </row>
    <row r="73" spans="2:17" x14ac:dyDescent="0.2">
      <c r="B73" s="192" t="s">
        <v>26</v>
      </c>
      <c r="C73" s="193" t="s">
        <v>27</v>
      </c>
      <c r="D73" s="436" t="str">
        <f>'26-10 payroll'!B11</f>
        <v>Briones, Christian Joy</v>
      </c>
      <c r="E73" s="437"/>
      <c r="F73" s="437"/>
      <c r="G73" s="55"/>
      <c r="H73" s="194"/>
      <c r="I73" s="195"/>
      <c r="J73" s="192" t="s">
        <v>26</v>
      </c>
      <c r="K73" s="193" t="s">
        <v>27</v>
      </c>
      <c r="L73" s="436" t="str">
        <f>'26-10 payroll'!B12</f>
        <v>Cahilig,Benzen</v>
      </c>
      <c r="M73" s="437"/>
      <c r="N73" s="437"/>
      <c r="O73" s="9"/>
      <c r="P73" s="194"/>
    </row>
    <row r="74" spans="2:17" x14ac:dyDescent="0.2">
      <c r="B74" s="192" t="s">
        <v>28</v>
      </c>
      <c r="C74" s="193" t="s">
        <v>27</v>
      </c>
      <c r="D74" s="438">
        <f>'26-10 payroll'!E11</f>
        <v>527</v>
      </c>
      <c r="E74" s="438"/>
      <c r="F74" s="438"/>
      <c r="G74" s="55"/>
      <c r="H74" s="196"/>
      <c r="I74" s="195"/>
      <c r="J74" s="192" t="s">
        <v>28</v>
      </c>
      <c r="K74" s="193" t="s">
        <v>27</v>
      </c>
      <c r="L74" s="438">
        <f>'26-10 payroll'!E12</f>
        <v>527</v>
      </c>
      <c r="M74" s="438"/>
      <c r="N74" s="438"/>
      <c r="O74" s="9"/>
      <c r="P74" s="196"/>
    </row>
    <row r="75" spans="2:17" x14ac:dyDescent="0.2">
      <c r="B75" s="192" t="s">
        <v>29</v>
      </c>
      <c r="C75" s="193" t="s">
        <v>27</v>
      </c>
      <c r="D75" s="439" t="str">
        <f>'26-10 payroll'!D3</f>
        <v>September 28-Oct 03, 2020</v>
      </c>
      <c r="E75" s="439"/>
      <c r="F75" s="439"/>
      <c r="G75" s="55"/>
      <c r="H75" s="194"/>
      <c r="I75" s="195"/>
      <c r="J75" s="192" t="s">
        <v>29</v>
      </c>
      <c r="K75" s="193" t="s">
        <v>27</v>
      </c>
      <c r="L75" s="439" t="str">
        <f>'26-10 payroll'!D3</f>
        <v>September 28-Oct 03, 2020</v>
      </c>
      <c r="M75" s="439"/>
      <c r="N75" s="439"/>
      <c r="O75" s="9"/>
      <c r="P75" s="194"/>
      <c r="Q75" s="187"/>
    </row>
    <row r="76" spans="2:17" x14ac:dyDescent="0.2">
      <c r="B76" s="197" t="s">
        <v>16</v>
      </c>
      <c r="C76" s="198"/>
      <c r="D76" s="199"/>
      <c r="E76" s="200"/>
      <c r="F76" s="201"/>
      <c r="G76" s="55"/>
      <c r="H76" s="56">
        <f>'26-10 payroll'!G11</f>
        <v>0</v>
      </c>
      <c r="I76" s="195"/>
      <c r="J76" s="197" t="s">
        <v>16</v>
      </c>
      <c r="K76" s="198"/>
      <c r="L76" s="199"/>
      <c r="M76" s="200"/>
      <c r="N76" s="9"/>
      <c r="O76" s="9"/>
      <c r="P76" s="10">
        <f>'26-10 payroll'!G12</f>
        <v>1581</v>
      </c>
      <c r="Q76" s="174"/>
    </row>
    <row r="77" spans="2:17" x14ac:dyDescent="0.2">
      <c r="B77" s="192"/>
      <c r="C77" s="198"/>
      <c r="D77" s="200" t="s">
        <v>31</v>
      </c>
      <c r="E77" s="202">
        <f>'26-10 payroll'!F11</f>
        <v>0</v>
      </c>
      <c r="F77" s="57" t="s">
        <v>90</v>
      </c>
      <c r="G77" s="55"/>
      <c r="H77" s="58"/>
      <c r="I77" s="195"/>
      <c r="J77" s="192"/>
      <c r="K77" s="198"/>
      <c r="L77" s="200" t="s">
        <v>31</v>
      </c>
      <c r="M77" s="203">
        <f>'26-10 payroll'!F12</f>
        <v>3</v>
      </c>
      <c r="N77" s="50" t="s">
        <v>90</v>
      </c>
      <c r="O77" s="9"/>
      <c r="P77" s="10"/>
      <c r="Q77" s="174"/>
    </row>
    <row r="78" spans="2:17" x14ac:dyDescent="0.2">
      <c r="B78" s="183"/>
      <c r="C78" s="184"/>
      <c r="D78" s="184"/>
      <c r="E78" s="184"/>
      <c r="F78" s="54"/>
      <c r="G78" s="54"/>
      <c r="H78" s="185"/>
      <c r="I78" s="186"/>
      <c r="J78" s="183"/>
      <c r="K78" s="184"/>
      <c r="L78" s="184"/>
      <c r="M78" s="184"/>
      <c r="N78" s="8"/>
      <c r="O78" s="8"/>
      <c r="P78" s="185"/>
      <c r="Q78" s="187"/>
    </row>
    <row r="79" spans="2:17" x14ac:dyDescent="0.2">
      <c r="B79" s="192" t="s">
        <v>32</v>
      </c>
      <c r="C79" s="193"/>
      <c r="D79" s="204" t="s">
        <v>33</v>
      </c>
      <c r="E79" s="205"/>
      <c r="F79" s="55">
        <f>'26-10 payroll'!P11</f>
        <v>0</v>
      </c>
      <c r="G79" s="55"/>
      <c r="H79" s="58"/>
      <c r="I79" s="195"/>
      <c r="J79" s="192" t="s">
        <v>32</v>
      </c>
      <c r="K79" s="193"/>
      <c r="L79" s="204" t="s">
        <v>33</v>
      </c>
      <c r="M79" s="205"/>
      <c r="N79" s="9">
        <f>'26-10 payroll'!P12</f>
        <v>0</v>
      </c>
      <c r="O79" s="9"/>
      <c r="P79" s="10"/>
    </row>
    <row r="80" spans="2:17" x14ac:dyDescent="0.2">
      <c r="B80" s="192"/>
      <c r="C80" s="193"/>
      <c r="D80" s="204" t="s">
        <v>95</v>
      </c>
      <c r="E80" s="205"/>
      <c r="F80" s="55">
        <f>'26-10 payroll'!H11</f>
        <v>0</v>
      </c>
      <c r="G80" s="55"/>
      <c r="H80" s="58"/>
      <c r="I80" s="195"/>
      <c r="J80" s="192"/>
      <c r="K80" s="193"/>
      <c r="L80" s="204" t="s">
        <v>95</v>
      </c>
      <c r="M80" s="205"/>
      <c r="N80" s="9">
        <f>'26-10 payroll'!H12</f>
        <v>30</v>
      </c>
      <c r="O80" s="9"/>
      <c r="P80" s="10"/>
    </row>
    <row r="81" spans="1:22" x14ac:dyDescent="0.2">
      <c r="B81" s="192"/>
      <c r="C81" s="193"/>
      <c r="D81" s="204" t="s">
        <v>34</v>
      </c>
      <c r="E81" s="205"/>
      <c r="F81" s="55">
        <f>'26-10 payroll'!R11</f>
        <v>0</v>
      </c>
      <c r="G81" s="55"/>
      <c r="H81" s="58"/>
      <c r="I81" s="195"/>
      <c r="J81" s="192"/>
      <c r="K81" s="193"/>
      <c r="L81" s="204" t="s">
        <v>34</v>
      </c>
      <c r="M81" s="205"/>
      <c r="N81" s="9">
        <f>'26-10 payroll'!R12</f>
        <v>0</v>
      </c>
      <c r="O81" s="9"/>
      <c r="P81" s="10"/>
    </row>
    <row r="82" spans="1:22" x14ac:dyDescent="0.2">
      <c r="B82" s="192"/>
      <c r="C82" s="193"/>
      <c r="D82" s="204" t="s">
        <v>35</v>
      </c>
      <c r="E82" s="205"/>
      <c r="F82" s="55">
        <f>'26-10 payroll'!T11</f>
        <v>0</v>
      </c>
      <c r="G82" s="55"/>
      <c r="H82" s="58"/>
      <c r="I82" s="195"/>
      <c r="J82" s="192"/>
      <c r="K82" s="193"/>
      <c r="L82" s="204" t="s">
        <v>35</v>
      </c>
      <c r="M82" s="205"/>
      <c r="N82" s="9">
        <f>'26-10 payroll'!T12</f>
        <v>0</v>
      </c>
      <c r="O82" s="9"/>
      <c r="P82" s="10"/>
    </row>
    <row r="83" spans="1:22" x14ac:dyDescent="0.2">
      <c r="B83" s="192"/>
      <c r="C83" s="193"/>
      <c r="D83" s="204" t="s">
        <v>99</v>
      </c>
      <c r="E83" s="205"/>
      <c r="F83" s="59">
        <f>'26-10 payroll'!V11+'26-10 payroll'!W11+'26-10 payroll'!O39+'26-10 payroll'!P39+'26-10 payroll'!Q39</f>
        <v>0</v>
      </c>
      <c r="G83" s="55"/>
      <c r="H83" s="56">
        <f>SUM(F79:F83)</f>
        <v>0</v>
      </c>
      <c r="I83" s="195"/>
      <c r="J83" s="192"/>
      <c r="K83" s="193"/>
      <c r="L83" s="204" t="s">
        <v>99</v>
      </c>
      <c r="M83" s="205"/>
      <c r="N83" s="11">
        <f>'26-10 payroll'!V12+'26-10 payroll'!W12+'26-10 payroll'!O40+'26-10 payroll'!P40+'26-10 payroll'!Q40</f>
        <v>0</v>
      </c>
      <c r="O83" s="9"/>
      <c r="P83" s="10">
        <f>SUM(N79:N83)</f>
        <v>30</v>
      </c>
      <c r="Q83" s="187"/>
    </row>
    <row r="84" spans="1:22" x14ac:dyDescent="0.2">
      <c r="B84" s="192" t="s">
        <v>36</v>
      </c>
      <c r="C84" s="198"/>
      <c r="D84" s="198"/>
      <c r="E84" s="198"/>
      <c r="F84" s="55"/>
      <c r="G84" s="55"/>
      <c r="H84" s="58"/>
      <c r="I84" s="195"/>
      <c r="J84" s="192" t="s">
        <v>36</v>
      </c>
      <c r="K84" s="198"/>
      <c r="L84" s="198"/>
      <c r="M84" s="198"/>
      <c r="N84" s="9"/>
      <c r="O84" s="9"/>
      <c r="P84" s="10"/>
      <c r="Q84" s="174"/>
    </row>
    <row r="85" spans="1:22" x14ac:dyDescent="0.2">
      <c r="B85" s="192"/>
      <c r="C85" s="198"/>
      <c r="D85" s="206" t="s">
        <v>4</v>
      </c>
      <c r="E85" s="205"/>
      <c r="F85" s="55">
        <f>'26-10 payroll'!J26</f>
        <v>0</v>
      </c>
      <c r="G85" s="55"/>
      <c r="H85" s="207"/>
      <c r="I85" s="195"/>
      <c r="J85" s="192"/>
      <c r="K85" s="198"/>
      <c r="L85" s="206" t="s">
        <v>4</v>
      </c>
      <c r="M85" s="205"/>
      <c r="N85" s="9">
        <f>'26-10 payroll'!J27</f>
        <v>0</v>
      </c>
      <c r="O85" s="9"/>
      <c r="P85" s="207"/>
      <c r="Q85" s="174"/>
    </row>
    <row r="86" spans="1:22" x14ac:dyDescent="0.2">
      <c r="B86" s="192"/>
      <c r="C86" s="198"/>
      <c r="D86" s="206" t="s">
        <v>96</v>
      </c>
      <c r="E86" s="205"/>
      <c r="F86" s="55">
        <f>'26-10 payroll'!K26</f>
        <v>0</v>
      </c>
      <c r="G86" s="55"/>
      <c r="H86" s="207"/>
      <c r="I86" s="195"/>
      <c r="J86" s="192"/>
      <c r="K86" s="198"/>
      <c r="L86" s="206" t="s">
        <v>96</v>
      </c>
      <c r="M86" s="205"/>
      <c r="N86" s="9">
        <f>'26-10 payroll'!K27</f>
        <v>0</v>
      </c>
      <c r="O86" s="9"/>
      <c r="P86" s="207"/>
      <c r="Q86" s="174"/>
    </row>
    <row r="87" spans="1:22" x14ac:dyDescent="0.2">
      <c r="B87" s="192"/>
      <c r="C87" s="198"/>
      <c r="D87" s="206" t="s">
        <v>37</v>
      </c>
      <c r="E87" s="205"/>
      <c r="F87" s="55">
        <f>'26-10 payroll'!L26</f>
        <v>0</v>
      </c>
      <c r="G87" s="55"/>
      <c r="H87" s="207"/>
      <c r="I87" s="195"/>
      <c r="J87" s="192"/>
      <c r="K87" s="198"/>
      <c r="L87" s="206" t="s">
        <v>37</v>
      </c>
      <c r="M87" s="205"/>
      <c r="N87" s="9">
        <f>'26-10 payroll'!L27</f>
        <v>0</v>
      </c>
      <c r="O87" s="9"/>
      <c r="P87" s="207"/>
    </row>
    <row r="88" spans="1:22" x14ac:dyDescent="0.2">
      <c r="B88" s="192"/>
      <c r="C88" s="198"/>
      <c r="D88" s="206" t="s">
        <v>38</v>
      </c>
      <c r="E88" s="205"/>
      <c r="F88" s="55">
        <f>'26-10 payroll'!O26</f>
        <v>0</v>
      </c>
      <c r="G88" s="55"/>
      <c r="H88" s="207"/>
      <c r="I88" s="195"/>
      <c r="J88" s="192"/>
      <c r="K88" s="198"/>
      <c r="L88" s="206" t="s">
        <v>38</v>
      </c>
      <c r="M88" s="205"/>
      <c r="N88" s="208">
        <f>'26-10 payroll'!O27</f>
        <v>0</v>
      </c>
      <c r="O88" s="9"/>
      <c r="P88" s="207"/>
    </row>
    <row r="89" spans="1:22" x14ac:dyDescent="0.2">
      <c r="B89" s="192"/>
      <c r="C89" s="198"/>
      <c r="D89" s="206" t="s">
        <v>98</v>
      </c>
      <c r="E89" s="205"/>
      <c r="F89" s="55">
        <f>+'26-10 payroll'!E60+'26-10 payroll'!F60+'26-10 payroll'!G60+'26-10 payroll'!H60</f>
        <v>0</v>
      </c>
      <c r="G89" s="55"/>
      <c r="H89" s="207"/>
      <c r="I89" s="195"/>
      <c r="J89" s="192"/>
      <c r="K89" s="198"/>
      <c r="L89" s="206" t="s">
        <v>98</v>
      </c>
      <c r="M89" s="205"/>
      <c r="N89" s="9">
        <f>+'26-10 payroll'!E61+'26-10 payroll'!F61+'26-10 payroll'!G61+'26-10 payroll'!H61</f>
        <v>0</v>
      </c>
      <c r="O89" s="9"/>
      <c r="P89" s="207"/>
    </row>
    <row r="90" spans="1:22" x14ac:dyDescent="0.2">
      <c r="B90" s="192"/>
      <c r="C90" s="198"/>
      <c r="D90" s="198" t="s">
        <v>43</v>
      </c>
      <c r="E90" s="205"/>
      <c r="F90" s="55">
        <f>'26-10 payroll'!D60</f>
        <v>0</v>
      </c>
      <c r="G90" s="55"/>
      <c r="H90" s="207"/>
      <c r="I90" s="195"/>
      <c r="J90" s="192"/>
      <c r="K90" s="198"/>
      <c r="L90" s="198" t="s">
        <v>43</v>
      </c>
      <c r="M90" s="205"/>
      <c r="N90" s="9">
        <f>'26-10 payroll'!D61</f>
        <v>0</v>
      </c>
      <c r="O90" s="9"/>
      <c r="P90" s="207"/>
    </row>
    <row r="91" spans="1:22" x14ac:dyDescent="0.2">
      <c r="B91" s="192"/>
      <c r="C91" s="198"/>
      <c r="D91" s="206" t="s">
        <v>39</v>
      </c>
      <c r="E91" s="205"/>
      <c r="F91" s="55">
        <f>'26-10 payroll'!F26+'26-10 payroll'!H26</f>
        <v>0</v>
      </c>
      <c r="G91" s="55"/>
      <c r="H91" s="209"/>
      <c r="I91" s="195"/>
      <c r="J91" s="192"/>
      <c r="K91" s="198"/>
      <c r="L91" s="206" t="s">
        <v>39</v>
      </c>
      <c r="M91" s="205"/>
      <c r="N91" s="9">
        <f>'26-10 payroll'!F27+'26-10 payroll'!H27</f>
        <v>0</v>
      </c>
      <c r="O91" s="9"/>
      <c r="P91" s="209"/>
      <c r="Q91" s="187"/>
    </row>
    <row r="92" spans="1:22" x14ac:dyDescent="0.2">
      <c r="B92" s="192"/>
      <c r="C92" s="198"/>
      <c r="D92" s="206" t="s">
        <v>97</v>
      </c>
      <c r="E92" s="205"/>
      <c r="F92" s="55">
        <f>'26-10 payroll'!N26</f>
        <v>0</v>
      </c>
      <c r="G92" s="55"/>
      <c r="H92" s="209"/>
      <c r="I92" s="195"/>
      <c r="J92" s="192"/>
      <c r="K92" s="198"/>
      <c r="L92" s="206" t="s">
        <v>97</v>
      </c>
      <c r="M92" s="205"/>
      <c r="N92" s="9">
        <f>'26-10 payroll'!N27</f>
        <v>0</v>
      </c>
      <c r="O92" s="9"/>
      <c r="P92" s="209"/>
      <c r="Q92" s="187"/>
    </row>
    <row r="93" spans="1:22" x14ac:dyDescent="0.2">
      <c r="B93" s="192"/>
      <c r="C93" s="198"/>
      <c r="D93" s="198" t="s">
        <v>6</v>
      </c>
      <c r="E93" s="205"/>
      <c r="F93" s="55">
        <f>'26-10 payroll'!M26</f>
        <v>0</v>
      </c>
      <c r="G93" s="55"/>
      <c r="H93" s="211">
        <f>-SUM(F85:F93)</f>
        <v>0</v>
      </c>
      <c r="I93" s="195"/>
      <c r="J93" s="192"/>
      <c r="K93" s="198"/>
      <c r="L93" s="198" t="s">
        <v>6</v>
      </c>
      <c r="M93" s="205"/>
      <c r="N93" s="9">
        <f>'26-10 payroll'!M27</f>
        <v>0</v>
      </c>
      <c r="O93" s="9"/>
      <c r="P93" s="211">
        <f>-SUM(N85:N93)</f>
        <v>0</v>
      </c>
      <c r="Q93" s="187"/>
    </row>
    <row r="94" spans="1:22" ht="13.5" thickBot="1" x14ac:dyDescent="0.25">
      <c r="A94" s="174"/>
      <c r="B94" s="197" t="s">
        <v>40</v>
      </c>
      <c r="C94" s="212"/>
      <c r="D94" s="212"/>
      <c r="E94" s="212"/>
      <c r="F94" s="60"/>
      <c r="G94" s="60"/>
      <c r="H94" s="213">
        <f>SUM(H76:H93)</f>
        <v>0</v>
      </c>
      <c r="I94" s="214"/>
      <c r="J94" s="197" t="s">
        <v>40</v>
      </c>
      <c r="K94" s="212"/>
      <c r="L94" s="212"/>
      <c r="M94" s="212"/>
      <c r="N94" s="12"/>
      <c r="O94" s="12"/>
      <c r="P94" s="213">
        <f>SUM(P76:P93)</f>
        <v>1611</v>
      </c>
      <c r="Q94" s="174"/>
      <c r="T94" s="216">
        <f>+H94-'26-10 payroll'!S39</f>
        <v>0</v>
      </c>
      <c r="V94" s="237">
        <f>+P94-'26-10 payroll'!S40</f>
        <v>0</v>
      </c>
    </row>
    <row r="95" spans="1:22" ht="13.5" thickTop="1" x14ac:dyDescent="0.2">
      <c r="B95" s="192" t="s">
        <v>41</v>
      </c>
      <c r="C95" s="198"/>
      <c r="D95" s="198"/>
      <c r="E95" s="198"/>
      <c r="F95" s="55"/>
      <c r="G95" s="55"/>
      <c r="H95" s="194"/>
      <c r="I95" s="195"/>
      <c r="J95" s="192" t="s">
        <v>41</v>
      </c>
      <c r="K95" s="198"/>
      <c r="L95" s="198"/>
      <c r="M95" s="198"/>
      <c r="N95" s="9"/>
      <c r="O95" s="9"/>
      <c r="P95" s="194"/>
      <c r="Q95" s="187"/>
    </row>
    <row r="96" spans="1:22" x14ac:dyDescent="0.2">
      <c r="B96" s="192"/>
      <c r="C96" s="198"/>
      <c r="D96" s="198"/>
      <c r="E96" s="198"/>
      <c r="F96" s="55"/>
      <c r="G96" s="55"/>
      <c r="H96" s="194"/>
      <c r="I96" s="195"/>
      <c r="J96" s="192"/>
      <c r="K96" s="198"/>
      <c r="L96" s="198"/>
      <c r="M96" s="198"/>
      <c r="N96" s="9"/>
      <c r="O96" s="9"/>
      <c r="P96" s="194"/>
      <c r="Q96" s="174"/>
    </row>
    <row r="97" spans="2:17" x14ac:dyDescent="0.2">
      <c r="B97" s="192" t="s">
        <v>42</v>
      </c>
      <c r="C97" s="198"/>
      <c r="D97" s="198"/>
      <c r="E97" s="198"/>
      <c r="F97" s="61"/>
      <c r="G97" s="61"/>
      <c r="H97" s="194"/>
      <c r="I97" s="219"/>
      <c r="J97" s="192" t="s">
        <v>42</v>
      </c>
      <c r="K97" s="198"/>
      <c r="L97" s="198"/>
      <c r="M97" s="198"/>
      <c r="N97" s="13"/>
      <c r="O97" s="13"/>
      <c r="P97" s="194"/>
      <c r="Q97" s="174"/>
    </row>
    <row r="98" spans="2:17" ht="13.5" thickBot="1" x14ac:dyDescent="0.25">
      <c r="B98" s="229"/>
      <c r="C98" s="230"/>
      <c r="D98" s="230"/>
      <c r="E98" s="230"/>
      <c r="F98" s="62"/>
      <c r="G98" s="62"/>
      <c r="H98" s="231"/>
      <c r="I98" s="223"/>
      <c r="J98" s="224"/>
      <c r="K98" s="225"/>
      <c r="L98" s="225"/>
      <c r="M98" s="225"/>
      <c r="N98" s="14"/>
      <c r="O98" s="14"/>
      <c r="P98" s="226"/>
    </row>
    <row r="99" spans="2:17" x14ac:dyDescent="0.2">
      <c r="J99" s="170"/>
      <c r="K99" s="228"/>
      <c r="L99" s="228"/>
      <c r="M99" s="228"/>
      <c r="N99" s="7"/>
      <c r="O99" s="7"/>
      <c r="P99" s="228"/>
    </row>
    <row r="100" spans="2:17" ht="13.5" thickBot="1" x14ac:dyDescent="0.25">
      <c r="B100" s="171">
        <v>7</v>
      </c>
      <c r="C100" s="172"/>
      <c r="D100" s="172"/>
      <c r="E100" s="172"/>
      <c r="F100" s="172"/>
      <c r="G100" s="172"/>
      <c r="H100" s="172"/>
      <c r="J100" s="173">
        <v>8</v>
      </c>
    </row>
    <row r="101" spans="2:17" x14ac:dyDescent="0.2">
      <c r="B101" s="440" t="str">
        <f>'26-10 payroll'!A1</f>
        <v>THE OLD SPAGHETTI HOUSE</v>
      </c>
      <c r="C101" s="441"/>
      <c r="D101" s="441"/>
      <c r="E101" s="441"/>
      <c r="F101" s="441"/>
      <c r="G101" s="441"/>
      <c r="H101" s="442"/>
      <c r="I101" s="178"/>
      <c r="J101" s="440" t="str">
        <f>'26-10 payroll'!A1</f>
        <v>THE OLD SPAGHETTI HOUSE</v>
      </c>
      <c r="K101" s="441"/>
      <c r="L101" s="441"/>
      <c r="M101" s="441"/>
      <c r="N101" s="441"/>
      <c r="O101" s="441"/>
      <c r="P101" s="442"/>
    </row>
    <row r="102" spans="2:17" x14ac:dyDescent="0.2">
      <c r="B102" s="443" t="str">
        <f>'26-10 payroll'!D2</f>
        <v>VALERO</v>
      </c>
      <c r="C102" s="444"/>
      <c r="D102" s="444"/>
      <c r="E102" s="444"/>
      <c r="F102" s="444"/>
      <c r="G102" s="444"/>
      <c r="H102" s="445"/>
      <c r="I102" s="178"/>
      <c r="J102" s="443" t="str">
        <f>'26-10 payroll'!D2</f>
        <v>VALERO</v>
      </c>
      <c r="K102" s="444"/>
      <c r="L102" s="444"/>
      <c r="M102" s="444"/>
      <c r="N102" s="444"/>
      <c r="O102" s="444"/>
      <c r="P102" s="445"/>
      <c r="Q102" s="179"/>
    </row>
    <row r="103" spans="2:17" x14ac:dyDescent="0.2">
      <c r="B103" s="183"/>
      <c r="C103" s="184"/>
      <c r="D103" s="184"/>
      <c r="E103" s="184"/>
      <c r="F103" s="54"/>
      <c r="G103" s="54"/>
      <c r="H103" s="185"/>
      <c r="I103" s="186"/>
      <c r="J103" s="183"/>
      <c r="K103" s="184"/>
      <c r="L103" s="184"/>
      <c r="M103" s="184"/>
      <c r="N103" s="8"/>
      <c r="O103" s="8"/>
      <c r="P103" s="185"/>
      <c r="Q103" s="187"/>
    </row>
    <row r="104" spans="2:17" x14ac:dyDescent="0.2">
      <c r="B104" s="446" t="s">
        <v>25</v>
      </c>
      <c r="C104" s="447"/>
      <c r="D104" s="447"/>
      <c r="E104" s="447"/>
      <c r="F104" s="447"/>
      <c r="G104" s="447"/>
      <c r="H104" s="448"/>
      <c r="I104" s="178"/>
      <c r="J104" s="446" t="s">
        <v>25</v>
      </c>
      <c r="K104" s="447"/>
      <c r="L104" s="447"/>
      <c r="M104" s="447"/>
      <c r="N104" s="447"/>
      <c r="O104" s="447"/>
      <c r="P104" s="448"/>
      <c r="Q104" s="174"/>
    </row>
    <row r="105" spans="2:17" x14ac:dyDescent="0.2">
      <c r="B105" s="183"/>
      <c r="C105" s="184"/>
      <c r="D105" s="184"/>
      <c r="E105" s="184"/>
      <c r="F105" s="54"/>
      <c r="G105" s="54"/>
      <c r="H105" s="185"/>
      <c r="I105" s="186"/>
      <c r="J105" s="183"/>
      <c r="K105" s="184"/>
      <c r="L105" s="184"/>
      <c r="M105" s="184"/>
      <c r="N105" s="8"/>
      <c r="O105" s="8"/>
      <c r="P105" s="185"/>
      <c r="Q105" s="187"/>
    </row>
    <row r="106" spans="2:17" x14ac:dyDescent="0.2">
      <c r="B106" s="192" t="s">
        <v>26</v>
      </c>
      <c r="C106" s="193" t="s">
        <v>27</v>
      </c>
      <c r="D106" s="436" t="str">
        <f>'26-10 payroll'!B13</f>
        <v>Pantoja,Nancy</v>
      </c>
      <c r="E106" s="437"/>
      <c r="F106" s="437"/>
      <c r="G106" s="55"/>
      <c r="H106" s="194"/>
      <c r="I106" s="195"/>
      <c r="J106" s="192" t="s">
        <v>26</v>
      </c>
      <c r="K106" s="193" t="s">
        <v>27</v>
      </c>
      <c r="L106" s="436" t="str">
        <f>'26-10 payroll'!B29</f>
        <v>Hayagan, Ruel</v>
      </c>
      <c r="M106" s="437"/>
      <c r="N106" s="437"/>
      <c r="O106" s="9"/>
      <c r="P106" s="194"/>
    </row>
    <row r="107" spans="2:17" x14ac:dyDescent="0.2">
      <c r="B107" s="192" t="s">
        <v>28</v>
      </c>
      <c r="C107" s="193" t="s">
        <v>27</v>
      </c>
      <c r="D107" s="438">
        <f>'26-10 payroll'!E13</f>
        <v>527</v>
      </c>
      <c r="E107" s="438"/>
      <c r="F107" s="438"/>
      <c r="G107" s="55"/>
      <c r="H107" s="196"/>
      <c r="I107" s="195"/>
      <c r="J107" s="192" t="s">
        <v>28</v>
      </c>
      <c r="K107" s="193" t="s">
        <v>27</v>
      </c>
      <c r="L107" s="438">
        <f>'26-10 payroll'!E14</f>
        <v>527</v>
      </c>
      <c r="M107" s="438"/>
      <c r="N107" s="438"/>
      <c r="O107" s="9"/>
      <c r="P107" s="196"/>
    </row>
    <row r="108" spans="2:17" x14ac:dyDescent="0.2">
      <c r="B108" s="192" t="s">
        <v>29</v>
      </c>
      <c r="C108" s="193" t="s">
        <v>27</v>
      </c>
      <c r="D108" s="439" t="str">
        <f>'26-10 payroll'!D3</f>
        <v>September 28-Oct 03, 2020</v>
      </c>
      <c r="E108" s="439"/>
      <c r="F108" s="439"/>
      <c r="G108" s="55"/>
      <c r="H108" s="194"/>
      <c r="I108" s="195"/>
      <c r="J108" s="192" t="s">
        <v>29</v>
      </c>
      <c r="K108" s="193" t="s">
        <v>27</v>
      </c>
      <c r="L108" s="439" t="str">
        <f>'26-10 payroll'!D3</f>
        <v>September 28-Oct 03, 2020</v>
      </c>
      <c r="M108" s="439"/>
      <c r="N108" s="439"/>
      <c r="O108" s="9"/>
      <c r="P108" s="194"/>
      <c r="Q108" s="187"/>
    </row>
    <row r="109" spans="2:17" x14ac:dyDescent="0.2">
      <c r="B109" s="197" t="s">
        <v>16</v>
      </c>
      <c r="C109" s="198"/>
      <c r="D109" s="199"/>
      <c r="E109" s="200"/>
      <c r="F109" s="201"/>
      <c r="G109" s="55"/>
      <c r="H109" s="56">
        <f>'26-10 payroll'!G13</f>
        <v>0</v>
      </c>
      <c r="I109" s="195"/>
      <c r="J109" s="192" t="s">
        <v>30</v>
      </c>
      <c r="K109" s="198"/>
      <c r="L109" s="232"/>
      <c r="M109" s="200"/>
      <c r="N109" s="9"/>
      <c r="O109" s="9"/>
      <c r="P109" s="10">
        <f>'26-10 payroll'!G14</f>
        <v>3162</v>
      </c>
      <c r="Q109" s="174"/>
    </row>
    <row r="110" spans="2:17" x14ac:dyDescent="0.2">
      <c r="B110" s="192"/>
      <c r="C110" s="198"/>
      <c r="D110" s="200" t="s">
        <v>31</v>
      </c>
      <c r="E110" s="202">
        <f>'26-10 payroll'!F77</f>
        <v>0</v>
      </c>
      <c r="F110" s="57" t="s">
        <v>90</v>
      </c>
      <c r="G110" s="55"/>
      <c r="H110" s="58"/>
      <c r="I110" s="195"/>
      <c r="J110" s="192"/>
      <c r="K110" s="198"/>
      <c r="L110" s="200" t="s">
        <v>31</v>
      </c>
      <c r="M110" s="203">
        <f>'26-10 payroll'!F78</f>
        <v>0</v>
      </c>
      <c r="N110" s="50" t="s">
        <v>90</v>
      </c>
      <c r="O110" s="9"/>
      <c r="P110" s="10"/>
      <c r="Q110" s="174"/>
    </row>
    <row r="111" spans="2:17" x14ac:dyDescent="0.2">
      <c r="B111" s="183"/>
      <c r="C111" s="184"/>
      <c r="D111" s="184"/>
      <c r="E111" s="184"/>
      <c r="F111" s="54"/>
      <c r="G111" s="54"/>
      <c r="H111" s="185"/>
      <c r="I111" s="186"/>
      <c r="J111" s="183"/>
      <c r="K111" s="184"/>
      <c r="L111" s="184"/>
      <c r="M111" s="184"/>
      <c r="N111" s="8"/>
      <c r="O111" s="8"/>
      <c r="P111" s="185"/>
      <c r="Q111" s="187"/>
    </row>
    <row r="112" spans="2:17" x14ac:dyDescent="0.2">
      <c r="B112" s="192" t="s">
        <v>32</v>
      </c>
      <c r="C112" s="193"/>
      <c r="D112" s="204" t="s">
        <v>33</v>
      </c>
      <c r="E112" s="205"/>
      <c r="F112" s="55">
        <f>'26-10 payroll'!P13</f>
        <v>0</v>
      </c>
      <c r="G112" s="55"/>
      <c r="H112" s="58"/>
      <c r="I112" s="195"/>
      <c r="J112" s="192" t="s">
        <v>32</v>
      </c>
      <c r="K112" s="193"/>
      <c r="L112" s="204" t="s">
        <v>33</v>
      </c>
      <c r="M112" s="205"/>
      <c r="N112" s="9">
        <f>'26-10 payroll'!P14</f>
        <v>0</v>
      </c>
      <c r="O112" s="9"/>
      <c r="P112" s="10"/>
    </row>
    <row r="113" spans="1:22" x14ac:dyDescent="0.2">
      <c r="B113" s="192"/>
      <c r="C113" s="193"/>
      <c r="D113" s="204" t="s">
        <v>95</v>
      </c>
      <c r="E113" s="205"/>
      <c r="F113" s="55">
        <f>'26-10 payroll'!H13</f>
        <v>0</v>
      </c>
      <c r="G113" s="55"/>
      <c r="H113" s="58"/>
      <c r="I113" s="195"/>
      <c r="J113" s="192"/>
      <c r="K113" s="193"/>
      <c r="L113" s="204" t="s">
        <v>95</v>
      </c>
      <c r="M113" s="205"/>
      <c r="N113" s="9">
        <f>'26-10 payroll'!H14</f>
        <v>60</v>
      </c>
      <c r="O113" s="9"/>
      <c r="P113" s="10"/>
    </row>
    <row r="114" spans="1:22" x14ac:dyDescent="0.2">
      <c r="B114" s="192"/>
      <c r="C114" s="193"/>
      <c r="D114" s="204" t="s">
        <v>34</v>
      </c>
      <c r="E114" s="205"/>
      <c r="F114" s="55">
        <f>'26-10 payroll'!R13</f>
        <v>0</v>
      </c>
      <c r="G114" s="55"/>
      <c r="H114" s="58"/>
      <c r="I114" s="195"/>
      <c r="J114" s="192"/>
      <c r="K114" s="193"/>
      <c r="L114" s="204" t="s">
        <v>34</v>
      </c>
      <c r="M114" s="205"/>
      <c r="N114" s="9">
        <f>'26-10 payroll'!R14</f>
        <v>0</v>
      </c>
      <c r="O114" s="9"/>
      <c r="P114" s="10"/>
    </row>
    <row r="115" spans="1:22" x14ac:dyDescent="0.2">
      <c r="B115" s="192"/>
      <c r="C115" s="193"/>
      <c r="D115" s="204" t="s">
        <v>35</v>
      </c>
      <c r="E115" s="205"/>
      <c r="F115" s="55">
        <f>'26-10 payroll'!T13</f>
        <v>0</v>
      </c>
      <c r="G115" s="55"/>
      <c r="H115" s="58"/>
      <c r="I115" s="195"/>
      <c r="J115" s="192"/>
      <c r="K115" s="193"/>
      <c r="L115" s="204" t="s">
        <v>35</v>
      </c>
      <c r="M115" s="205"/>
      <c r="N115" s="9">
        <f>'26-10 payroll'!T14</f>
        <v>0</v>
      </c>
      <c r="O115" s="9"/>
      <c r="P115" s="10"/>
    </row>
    <row r="116" spans="1:22" x14ac:dyDescent="0.2">
      <c r="B116" s="192"/>
      <c r="C116" s="193"/>
      <c r="D116" s="204" t="s">
        <v>99</v>
      </c>
      <c r="E116" s="205"/>
      <c r="F116" s="59">
        <f>'26-10 payroll'!V13+'26-10 payroll'!W13+'26-10 payroll'!O41+'26-10 payroll'!P41+'26-10 payroll'!Q41</f>
        <v>0</v>
      </c>
      <c r="G116" s="55"/>
      <c r="H116" s="56">
        <f>SUM(F112:F116)</f>
        <v>0</v>
      </c>
      <c r="I116" s="195"/>
      <c r="J116" s="192"/>
      <c r="K116" s="193"/>
      <c r="L116" s="204" t="s">
        <v>99</v>
      </c>
      <c r="M116" s="205"/>
      <c r="N116" s="11">
        <f>'26-10 payroll'!V14+'26-10 payroll'!W14+'26-10 payroll'!O42+'26-10 payroll'!P42+'26-10 payroll'!Q42</f>
        <v>0</v>
      </c>
      <c r="O116" s="9"/>
      <c r="P116" s="10">
        <f>SUM(N112:N116)</f>
        <v>60</v>
      </c>
      <c r="Q116" s="187"/>
    </row>
    <row r="117" spans="1:22" x14ac:dyDescent="0.2">
      <c r="B117" s="192" t="s">
        <v>36</v>
      </c>
      <c r="C117" s="198"/>
      <c r="D117" s="198"/>
      <c r="E117" s="198"/>
      <c r="F117" s="55"/>
      <c r="G117" s="55"/>
      <c r="H117" s="58"/>
      <c r="I117" s="195"/>
      <c r="J117" s="192" t="s">
        <v>36</v>
      </c>
      <c r="K117" s="198"/>
      <c r="L117" s="198"/>
      <c r="M117" s="198"/>
      <c r="N117" s="9"/>
      <c r="O117" s="9"/>
      <c r="P117" s="10"/>
      <c r="Q117" s="174"/>
    </row>
    <row r="118" spans="1:22" x14ac:dyDescent="0.2">
      <c r="B118" s="192"/>
      <c r="C118" s="198"/>
      <c r="D118" s="206" t="s">
        <v>4</v>
      </c>
      <c r="E118" s="205"/>
      <c r="F118" s="55">
        <f>'26-10 payroll'!J28</f>
        <v>0</v>
      </c>
      <c r="G118" s="55"/>
      <c r="H118" s="207"/>
      <c r="I118" s="195"/>
      <c r="J118" s="192"/>
      <c r="K118" s="198"/>
      <c r="L118" s="206" t="s">
        <v>4</v>
      </c>
      <c r="M118" s="205"/>
      <c r="N118" s="9">
        <f>'26-10 payroll'!J29</f>
        <v>0</v>
      </c>
      <c r="O118" s="9"/>
      <c r="P118" s="207"/>
      <c r="Q118" s="174"/>
    </row>
    <row r="119" spans="1:22" x14ac:dyDescent="0.2">
      <c r="B119" s="192"/>
      <c r="C119" s="198"/>
      <c r="D119" s="206" t="s">
        <v>96</v>
      </c>
      <c r="E119" s="205"/>
      <c r="F119" s="55">
        <f>'26-10 payroll'!K28</f>
        <v>0</v>
      </c>
      <c r="G119" s="55"/>
      <c r="H119" s="207"/>
      <c r="I119" s="195"/>
      <c r="J119" s="192"/>
      <c r="K119" s="198"/>
      <c r="L119" s="206" t="s">
        <v>96</v>
      </c>
      <c r="M119" s="205"/>
      <c r="N119" s="9">
        <f>'26-10 payroll'!K29</f>
        <v>0</v>
      </c>
      <c r="O119" s="9"/>
      <c r="P119" s="207"/>
      <c r="Q119" s="174"/>
    </row>
    <row r="120" spans="1:22" x14ac:dyDescent="0.2">
      <c r="B120" s="192"/>
      <c r="C120" s="198"/>
      <c r="D120" s="206" t="s">
        <v>37</v>
      </c>
      <c r="E120" s="205"/>
      <c r="F120" s="55">
        <f>'26-10 payroll'!L28</f>
        <v>0</v>
      </c>
      <c r="G120" s="55"/>
      <c r="H120" s="207"/>
      <c r="I120" s="195"/>
      <c r="J120" s="192"/>
      <c r="K120" s="198"/>
      <c r="L120" s="206" t="s">
        <v>37</v>
      </c>
      <c r="M120" s="205"/>
      <c r="N120" s="9">
        <f>'26-10 payroll'!L29</f>
        <v>0</v>
      </c>
      <c r="O120" s="9"/>
      <c r="P120" s="207"/>
    </row>
    <row r="121" spans="1:22" x14ac:dyDescent="0.2">
      <c r="B121" s="192"/>
      <c r="C121" s="198"/>
      <c r="D121" s="206" t="s">
        <v>38</v>
      </c>
      <c r="E121" s="205"/>
      <c r="F121" s="55">
        <f>'26-10 payroll'!O28</f>
        <v>0</v>
      </c>
      <c r="G121" s="55"/>
      <c r="H121" s="207"/>
      <c r="I121" s="195"/>
      <c r="J121" s="192"/>
      <c r="K121" s="198"/>
      <c r="L121" s="206" t="s">
        <v>38</v>
      </c>
      <c r="M121" s="205"/>
      <c r="N121" s="208">
        <f>'26-10 payroll'!O29</f>
        <v>0</v>
      </c>
      <c r="O121" s="9"/>
      <c r="P121" s="207"/>
    </row>
    <row r="122" spans="1:22" x14ac:dyDescent="0.2">
      <c r="B122" s="192"/>
      <c r="C122" s="198"/>
      <c r="D122" s="206" t="s">
        <v>98</v>
      </c>
      <c r="E122" s="205"/>
      <c r="F122" s="55">
        <f>+'26-10 payroll'!E62+'26-10 payroll'!F62+'26-10 payroll'!G62+'26-10 payroll'!H62</f>
        <v>0</v>
      </c>
      <c r="G122" s="55"/>
      <c r="H122" s="207"/>
      <c r="I122" s="195"/>
      <c r="J122" s="192"/>
      <c r="K122" s="198"/>
      <c r="L122" s="206" t="s">
        <v>98</v>
      </c>
      <c r="M122" s="205"/>
      <c r="N122" s="9">
        <f>+'26-10 payroll'!E63+'26-10 payroll'!F63+'26-10 payroll'!G63+'26-10 payroll'!H63</f>
        <v>0</v>
      </c>
      <c r="O122" s="9"/>
      <c r="P122" s="207"/>
    </row>
    <row r="123" spans="1:22" x14ac:dyDescent="0.2">
      <c r="B123" s="192"/>
      <c r="C123" s="198"/>
      <c r="D123" s="198" t="s">
        <v>43</v>
      </c>
      <c r="E123" s="205"/>
      <c r="F123" s="55">
        <f>'26-10 payroll'!D62</f>
        <v>0</v>
      </c>
      <c r="G123" s="55"/>
      <c r="H123" s="207"/>
      <c r="I123" s="195"/>
      <c r="J123" s="192"/>
      <c r="K123" s="198"/>
      <c r="L123" s="198" t="s">
        <v>43</v>
      </c>
      <c r="M123" s="205"/>
      <c r="N123" s="9">
        <f>'26-10 payroll'!D63</f>
        <v>0</v>
      </c>
      <c r="O123" s="9"/>
      <c r="P123" s="207"/>
    </row>
    <row r="124" spans="1:22" x14ac:dyDescent="0.2">
      <c r="B124" s="192"/>
      <c r="C124" s="198"/>
      <c r="D124" s="206" t="s">
        <v>39</v>
      </c>
      <c r="E124" s="205"/>
      <c r="F124" s="55">
        <f>'26-10 payroll'!F28+'26-10 payroll'!H28</f>
        <v>0</v>
      </c>
      <c r="G124" s="55"/>
      <c r="H124" s="209"/>
      <c r="I124" s="195"/>
      <c r="J124" s="192"/>
      <c r="K124" s="198"/>
      <c r="L124" s="206" t="s">
        <v>39</v>
      </c>
      <c r="M124" s="205"/>
      <c r="N124" s="9">
        <f>'26-10 payroll'!F29+'26-10 payroll'!H29</f>
        <v>0</v>
      </c>
      <c r="O124" s="9"/>
      <c r="P124" s="209"/>
      <c r="Q124" s="187"/>
    </row>
    <row r="125" spans="1:22" x14ac:dyDescent="0.2">
      <c r="B125" s="192"/>
      <c r="C125" s="198"/>
      <c r="D125" s="206" t="s">
        <v>97</v>
      </c>
      <c r="E125" s="205"/>
      <c r="F125" s="55">
        <f>'26-10 payroll'!N28</f>
        <v>0</v>
      </c>
      <c r="G125" s="55"/>
      <c r="H125" s="209"/>
      <c r="I125" s="195"/>
      <c r="J125" s="192"/>
      <c r="K125" s="198"/>
      <c r="L125" s="206" t="s">
        <v>97</v>
      </c>
      <c r="M125" s="205"/>
      <c r="N125" s="9">
        <f>'26-10 payroll'!N29</f>
        <v>0</v>
      </c>
      <c r="O125" s="9"/>
      <c r="P125" s="209"/>
      <c r="Q125" s="187"/>
    </row>
    <row r="126" spans="1:22" x14ac:dyDescent="0.2">
      <c r="B126" s="192"/>
      <c r="C126" s="198"/>
      <c r="D126" s="198" t="s">
        <v>6</v>
      </c>
      <c r="E126" s="205"/>
      <c r="F126" s="55">
        <f>'26-10 payroll'!M28</f>
        <v>0</v>
      </c>
      <c r="G126" s="55"/>
      <c r="H126" s="211">
        <f>-SUM(F118:F126)</f>
        <v>0</v>
      </c>
      <c r="I126" s="195"/>
      <c r="J126" s="192"/>
      <c r="K126" s="198"/>
      <c r="L126" s="198" t="s">
        <v>6</v>
      </c>
      <c r="M126" s="205"/>
      <c r="N126" s="9">
        <f>'26-10 payroll'!M29</f>
        <v>0</v>
      </c>
      <c r="O126" s="9"/>
      <c r="P126" s="211">
        <f>-SUM(N118:N126)</f>
        <v>0</v>
      </c>
      <c r="Q126" s="187"/>
    </row>
    <row r="127" spans="1:22" ht="13.5" thickBot="1" x14ac:dyDescent="0.25">
      <c r="A127" s="174"/>
      <c r="B127" s="197" t="s">
        <v>40</v>
      </c>
      <c r="C127" s="212"/>
      <c r="D127" s="212"/>
      <c r="E127" s="212"/>
      <c r="F127" s="60"/>
      <c r="G127" s="60"/>
      <c r="H127" s="213">
        <f>SUM(H109:H126)</f>
        <v>0</v>
      </c>
      <c r="I127" s="214"/>
      <c r="J127" s="197" t="s">
        <v>40</v>
      </c>
      <c r="K127" s="212"/>
      <c r="L127" s="212"/>
      <c r="M127" s="212"/>
      <c r="N127" s="12"/>
      <c r="O127" s="12"/>
      <c r="P127" s="213">
        <f>SUM(P109:P126)</f>
        <v>3222</v>
      </c>
      <c r="Q127" s="174"/>
      <c r="T127" s="216">
        <f>+H127-'26-10 payroll'!S41</f>
        <v>0</v>
      </c>
      <c r="V127" s="237">
        <f>+P127-'26-10 payroll'!S42</f>
        <v>0</v>
      </c>
    </row>
    <row r="128" spans="1:22" ht="13.5" thickTop="1" x14ac:dyDescent="0.2">
      <c r="B128" s="192" t="s">
        <v>41</v>
      </c>
      <c r="C128" s="198"/>
      <c r="D128" s="198"/>
      <c r="E128" s="198"/>
      <c r="F128" s="55"/>
      <c r="G128" s="55"/>
      <c r="H128" s="194"/>
      <c r="I128" s="195"/>
      <c r="J128" s="192" t="s">
        <v>41</v>
      </c>
      <c r="K128" s="198"/>
      <c r="L128" s="198"/>
      <c r="M128" s="198"/>
      <c r="N128" s="9"/>
      <c r="O128" s="9"/>
      <c r="P128" s="194"/>
      <c r="Q128" s="187"/>
    </row>
    <row r="129" spans="2:17" x14ac:dyDescent="0.2">
      <c r="B129" s="192"/>
      <c r="C129" s="198"/>
      <c r="D129" s="198"/>
      <c r="E129" s="198"/>
      <c r="F129" s="55"/>
      <c r="G129" s="55"/>
      <c r="H129" s="194"/>
      <c r="I129" s="195"/>
      <c r="J129" s="192"/>
      <c r="K129" s="198"/>
      <c r="L129" s="198"/>
      <c r="M129" s="198"/>
      <c r="N129" s="9"/>
      <c r="O129" s="9"/>
      <c r="P129" s="194"/>
      <c r="Q129" s="174"/>
    </row>
    <row r="130" spans="2:17" x14ac:dyDescent="0.2">
      <c r="B130" s="192" t="s">
        <v>42</v>
      </c>
      <c r="C130" s="198"/>
      <c r="D130" s="198"/>
      <c r="E130" s="198"/>
      <c r="F130" s="61"/>
      <c r="G130" s="61"/>
      <c r="H130" s="194"/>
      <c r="I130" s="219"/>
      <c r="J130" s="192" t="s">
        <v>42</v>
      </c>
      <c r="K130" s="198"/>
      <c r="L130" s="198"/>
      <c r="M130" s="198"/>
      <c r="N130" s="13"/>
      <c r="O130" s="13"/>
      <c r="P130" s="194"/>
      <c r="Q130" s="174"/>
    </row>
    <row r="131" spans="2:17" ht="13.5" thickBot="1" x14ac:dyDescent="0.25">
      <c r="B131" s="229"/>
      <c r="C131" s="230"/>
      <c r="D131" s="230"/>
      <c r="E131" s="230"/>
      <c r="F131" s="62"/>
      <c r="G131" s="62"/>
      <c r="H131" s="231"/>
      <c r="I131" s="223"/>
      <c r="J131" s="224"/>
      <c r="K131" s="225"/>
      <c r="L131" s="225"/>
      <c r="M131" s="225"/>
      <c r="N131" s="14"/>
      <c r="O131" s="14"/>
      <c r="P131" s="226"/>
    </row>
    <row r="132" spans="2:17" x14ac:dyDescent="0.2">
      <c r="J132" s="170"/>
      <c r="K132" s="228"/>
      <c r="L132" s="228"/>
      <c r="M132" s="228"/>
      <c r="N132" s="7"/>
      <c r="O132" s="7"/>
      <c r="P132" s="228"/>
    </row>
    <row r="133" spans="2:17" ht="13.5" thickBot="1" x14ac:dyDescent="0.25">
      <c r="B133" s="171">
        <v>9</v>
      </c>
      <c r="C133" s="172"/>
      <c r="D133" s="172"/>
      <c r="E133" s="172"/>
      <c r="F133" s="172"/>
      <c r="G133" s="172"/>
      <c r="H133" s="172"/>
      <c r="J133" s="173">
        <v>10</v>
      </c>
    </row>
    <row r="134" spans="2:17" x14ac:dyDescent="0.2">
      <c r="B134" s="440" t="str">
        <f>'26-10 payroll'!A1</f>
        <v>THE OLD SPAGHETTI HOUSE</v>
      </c>
      <c r="C134" s="441"/>
      <c r="D134" s="441"/>
      <c r="E134" s="441"/>
      <c r="F134" s="441"/>
      <c r="G134" s="441"/>
      <c r="H134" s="442"/>
      <c r="I134" s="178"/>
      <c r="J134" s="440" t="str">
        <f>'26-10 payroll'!A1</f>
        <v>THE OLD SPAGHETTI HOUSE</v>
      </c>
      <c r="K134" s="441"/>
      <c r="L134" s="441"/>
      <c r="M134" s="441"/>
      <c r="N134" s="441"/>
      <c r="O134" s="441"/>
      <c r="P134" s="442"/>
    </row>
    <row r="135" spans="2:17" x14ac:dyDescent="0.2">
      <c r="B135" s="443" t="str">
        <f>'26-10 payroll'!D2</f>
        <v>VALERO</v>
      </c>
      <c r="C135" s="444"/>
      <c r="D135" s="444"/>
      <c r="E135" s="444"/>
      <c r="F135" s="444"/>
      <c r="G135" s="444"/>
      <c r="H135" s="445"/>
      <c r="I135" s="178"/>
      <c r="J135" s="443" t="str">
        <f>'26-10 payroll'!D2</f>
        <v>VALERO</v>
      </c>
      <c r="K135" s="444"/>
      <c r="L135" s="444"/>
      <c r="M135" s="444"/>
      <c r="N135" s="444"/>
      <c r="O135" s="444"/>
      <c r="P135" s="445"/>
      <c r="Q135" s="179"/>
    </row>
    <row r="136" spans="2:17" x14ac:dyDescent="0.2">
      <c r="B136" s="183"/>
      <c r="C136" s="184"/>
      <c r="D136" s="184"/>
      <c r="E136" s="184"/>
      <c r="F136" s="54"/>
      <c r="G136" s="54"/>
      <c r="H136" s="185"/>
      <c r="I136" s="186"/>
      <c r="J136" s="183"/>
      <c r="K136" s="184"/>
      <c r="L136" s="184"/>
      <c r="M136" s="184"/>
      <c r="N136" s="8"/>
      <c r="O136" s="8"/>
      <c r="P136" s="185"/>
      <c r="Q136" s="187"/>
    </row>
    <row r="137" spans="2:17" x14ac:dyDescent="0.2">
      <c r="B137" s="446" t="s">
        <v>25</v>
      </c>
      <c r="C137" s="447"/>
      <c r="D137" s="447"/>
      <c r="E137" s="447"/>
      <c r="F137" s="447"/>
      <c r="G137" s="447"/>
      <c r="H137" s="448"/>
      <c r="I137" s="178"/>
      <c r="J137" s="446" t="s">
        <v>25</v>
      </c>
      <c r="K137" s="447"/>
      <c r="L137" s="447"/>
      <c r="M137" s="447"/>
      <c r="N137" s="447"/>
      <c r="O137" s="447"/>
      <c r="P137" s="448"/>
      <c r="Q137" s="174"/>
    </row>
    <row r="138" spans="2:17" x14ac:dyDescent="0.2">
      <c r="B138" s="183"/>
      <c r="C138" s="184"/>
      <c r="D138" s="184"/>
      <c r="E138" s="184"/>
      <c r="F138" s="54"/>
      <c r="G138" s="54"/>
      <c r="H138" s="185"/>
      <c r="I138" s="186"/>
      <c r="J138" s="183"/>
      <c r="K138" s="184"/>
      <c r="L138" s="184"/>
      <c r="M138" s="184"/>
      <c r="N138" s="8"/>
      <c r="O138" s="8"/>
      <c r="P138" s="185"/>
      <c r="Q138" s="187"/>
    </row>
    <row r="139" spans="2:17" x14ac:dyDescent="0.2">
      <c r="B139" s="192" t="s">
        <v>26</v>
      </c>
      <c r="C139" s="193" t="s">
        <v>27</v>
      </c>
      <c r="D139" s="436" t="str">
        <f>'26-10 payroll'!B15</f>
        <v>Labadan, Eric</v>
      </c>
      <c r="E139" s="437"/>
      <c r="F139" s="437"/>
      <c r="G139" s="55"/>
      <c r="H139" s="194"/>
      <c r="I139" s="195"/>
      <c r="J139" s="192" t="s">
        <v>26</v>
      </c>
      <c r="K139" s="193" t="s">
        <v>27</v>
      </c>
      <c r="L139" s="437">
        <f>'26-10 payroll'!C112</f>
        <v>0</v>
      </c>
      <c r="M139" s="437"/>
      <c r="N139" s="437"/>
      <c r="O139" s="9"/>
      <c r="P139" s="194"/>
    </row>
    <row r="140" spans="2:17" x14ac:dyDescent="0.2">
      <c r="B140" s="192" t="s">
        <v>28</v>
      </c>
      <c r="C140" s="193" t="s">
        <v>27</v>
      </c>
      <c r="D140" s="438">
        <f>'26-10 payroll'!E15</f>
        <v>527</v>
      </c>
      <c r="E140" s="438"/>
      <c r="F140" s="438"/>
      <c r="G140" s="55"/>
      <c r="H140" s="196"/>
      <c r="I140" s="195"/>
      <c r="J140" s="192" t="s">
        <v>28</v>
      </c>
      <c r="K140" s="193" t="s">
        <v>27</v>
      </c>
      <c r="L140" s="438">
        <f>'26-10 payroll'!E112</f>
        <v>0</v>
      </c>
      <c r="M140" s="438"/>
      <c r="N140" s="438"/>
      <c r="O140" s="9"/>
      <c r="P140" s="196"/>
    </row>
    <row r="141" spans="2:17" x14ac:dyDescent="0.2">
      <c r="B141" s="192" t="s">
        <v>29</v>
      </c>
      <c r="C141" s="193" t="s">
        <v>27</v>
      </c>
      <c r="D141" s="439" t="str">
        <f>'26-10 payroll'!D3</f>
        <v>September 28-Oct 03, 2020</v>
      </c>
      <c r="E141" s="439"/>
      <c r="F141" s="439"/>
      <c r="G141" s="55"/>
      <c r="H141" s="194"/>
      <c r="I141" s="195"/>
      <c r="J141" s="192" t="s">
        <v>29</v>
      </c>
      <c r="K141" s="193" t="s">
        <v>27</v>
      </c>
      <c r="L141" s="439">
        <f>'26-10 payroll'!D105</f>
        <v>0</v>
      </c>
      <c r="M141" s="439"/>
      <c r="N141" s="439"/>
      <c r="O141" s="9"/>
      <c r="P141" s="194"/>
      <c r="Q141" s="187"/>
    </row>
    <row r="142" spans="2:17" x14ac:dyDescent="0.2">
      <c r="B142" s="197" t="s">
        <v>16</v>
      </c>
      <c r="C142" s="198"/>
      <c r="D142" s="199"/>
      <c r="E142" s="200"/>
      <c r="F142" s="201"/>
      <c r="G142" s="55"/>
      <c r="H142" s="56">
        <f>'26-10 payroll'!G15</f>
        <v>1581</v>
      </c>
      <c r="I142" s="195"/>
      <c r="J142" s="197" t="s">
        <v>16</v>
      </c>
      <c r="K142" s="198"/>
      <c r="L142" s="199">
        <f>'26-10 payroll'!D139</f>
        <v>0</v>
      </c>
      <c r="M142" s="200"/>
      <c r="N142" s="9"/>
      <c r="O142" s="9"/>
      <c r="P142" s="10">
        <f>'26-10 payroll'!G112</f>
        <v>0</v>
      </c>
      <c r="Q142" s="174"/>
    </row>
    <row r="143" spans="2:17" x14ac:dyDescent="0.2">
      <c r="B143" s="192"/>
      <c r="C143" s="198"/>
      <c r="D143" s="200" t="s">
        <v>31</v>
      </c>
      <c r="E143" s="202">
        <f>'26-10 payroll'!F111</f>
        <v>0</v>
      </c>
      <c r="F143" s="57" t="s">
        <v>90</v>
      </c>
      <c r="G143" s="55"/>
      <c r="H143" s="58"/>
      <c r="I143" s="195"/>
      <c r="J143" s="192"/>
      <c r="K143" s="198"/>
      <c r="L143" s="200" t="s">
        <v>31</v>
      </c>
      <c r="M143" s="203">
        <f>'26-10 payroll'!F112</f>
        <v>0</v>
      </c>
      <c r="N143" s="50" t="s">
        <v>90</v>
      </c>
      <c r="O143" s="9"/>
      <c r="P143" s="10"/>
      <c r="Q143" s="174"/>
    </row>
    <row r="144" spans="2:17" x14ac:dyDescent="0.2">
      <c r="B144" s="183"/>
      <c r="C144" s="184"/>
      <c r="D144" s="184"/>
      <c r="E144" s="184"/>
      <c r="F144" s="54"/>
      <c r="G144" s="54"/>
      <c r="H144" s="185"/>
      <c r="I144" s="186"/>
      <c r="J144" s="183"/>
      <c r="K144" s="184"/>
      <c r="L144" s="184"/>
      <c r="M144" s="184"/>
      <c r="N144" s="8"/>
      <c r="O144" s="8"/>
      <c r="P144" s="185"/>
      <c r="Q144" s="187"/>
    </row>
    <row r="145" spans="1:22" x14ac:dyDescent="0.2">
      <c r="B145" s="192" t="s">
        <v>32</v>
      </c>
      <c r="C145" s="193"/>
      <c r="D145" s="204" t="s">
        <v>33</v>
      </c>
      <c r="E145" s="205"/>
      <c r="F145" s="55">
        <f>'26-10 payroll'!P15</f>
        <v>0</v>
      </c>
      <c r="G145" s="55"/>
      <c r="H145" s="58"/>
      <c r="I145" s="195"/>
      <c r="J145" s="192" t="s">
        <v>32</v>
      </c>
      <c r="K145" s="193"/>
      <c r="L145" s="204" t="s">
        <v>33</v>
      </c>
      <c r="M145" s="205"/>
      <c r="N145" s="9">
        <f>'26-10 payroll'!P112</f>
        <v>0</v>
      </c>
      <c r="O145" s="9"/>
      <c r="P145" s="10"/>
    </row>
    <row r="146" spans="1:22" x14ac:dyDescent="0.2">
      <c r="B146" s="192"/>
      <c r="C146" s="193"/>
      <c r="D146" s="204" t="s">
        <v>95</v>
      </c>
      <c r="E146" s="205"/>
      <c r="F146" s="55">
        <f>'26-10 payroll'!H15</f>
        <v>30</v>
      </c>
      <c r="G146" s="55"/>
      <c r="H146" s="58"/>
      <c r="I146" s="195"/>
      <c r="J146" s="192"/>
      <c r="K146" s="193"/>
      <c r="L146" s="204" t="s">
        <v>95</v>
      </c>
      <c r="M146" s="205"/>
      <c r="N146" s="9">
        <f>'26-10 payroll'!H112</f>
        <v>0</v>
      </c>
      <c r="O146" s="9"/>
      <c r="P146" s="10"/>
    </row>
    <row r="147" spans="1:22" x14ac:dyDescent="0.2">
      <c r="B147" s="192"/>
      <c r="C147" s="193"/>
      <c r="D147" s="204" t="s">
        <v>34</v>
      </c>
      <c r="E147" s="205"/>
      <c r="F147" s="55">
        <f>'26-10 payroll'!R15</f>
        <v>0</v>
      </c>
      <c r="G147" s="55"/>
      <c r="H147" s="58"/>
      <c r="I147" s="195"/>
      <c r="J147" s="192"/>
      <c r="K147" s="193"/>
      <c r="L147" s="204" t="s">
        <v>34</v>
      </c>
      <c r="M147" s="205"/>
      <c r="N147" s="9">
        <f>'26-10 payroll'!R112</f>
        <v>0</v>
      </c>
      <c r="O147" s="9"/>
      <c r="P147" s="10"/>
    </row>
    <row r="148" spans="1:22" x14ac:dyDescent="0.2">
      <c r="B148" s="192"/>
      <c r="C148" s="193"/>
      <c r="D148" s="204" t="s">
        <v>35</v>
      </c>
      <c r="E148" s="205"/>
      <c r="F148" s="55">
        <f>'26-10 payroll'!T15</f>
        <v>0</v>
      </c>
      <c r="G148" s="55"/>
      <c r="H148" s="58"/>
      <c r="I148" s="195"/>
      <c r="J148" s="192"/>
      <c r="K148" s="193"/>
      <c r="L148" s="204" t="s">
        <v>35</v>
      </c>
      <c r="M148" s="205"/>
      <c r="N148" s="9">
        <f>'26-10 payroll'!T112</f>
        <v>0</v>
      </c>
      <c r="O148" s="9"/>
      <c r="P148" s="10"/>
    </row>
    <row r="149" spans="1:22" x14ac:dyDescent="0.2">
      <c r="B149" s="192"/>
      <c r="C149" s="193"/>
      <c r="D149" s="204" t="s">
        <v>99</v>
      </c>
      <c r="E149" s="205"/>
      <c r="F149" s="59">
        <f>'26-10 payroll'!V15+'26-10 payroll'!W15+'26-10 payroll'!O43+'26-10 payroll'!P43+'26-10 payroll'!Q43</f>
        <v>0</v>
      </c>
      <c r="G149" s="55"/>
      <c r="H149" s="56">
        <f>SUM(F145:F149)</f>
        <v>30</v>
      </c>
      <c r="I149" s="195"/>
      <c r="J149" s="192"/>
      <c r="K149" s="193"/>
      <c r="L149" s="204" t="s">
        <v>99</v>
      </c>
      <c r="M149" s="205"/>
      <c r="N149" s="11">
        <f>'26-10 payroll'!W112+'26-10 payroll'!O44+'26-10 payroll'!P44+'26-10 payroll'!Q44</f>
        <v>0</v>
      </c>
      <c r="O149" s="9"/>
      <c r="P149" s="10">
        <f>SUM(N145:N149)</f>
        <v>0</v>
      </c>
      <c r="Q149" s="187"/>
    </row>
    <row r="150" spans="1:22" x14ac:dyDescent="0.2">
      <c r="B150" s="192" t="s">
        <v>36</v>
      </c>
      <c r="C150" s="198"/>
      <c r="D150" s="198"/>
      <c r="E150" s="198"/>
      <c r="F150" s="55"/>
      <c r="G150" s="55"/>
      <c r="H150" s="58"/>
      <c r="I150" s="195"/>
      <c r="J150" s="192" t="s">
        <v>36</v>
      </c>
      <c r="K150" s="198"/>
      <c r="L150" s="198"/>
      <c r="M150" s="198"/>
      <c r="N150" s="9"/>
      <c r="O150" s="9"/>
      <c r="P150" s="10"/>
      <c r="Q150" s="174"/>
    </row>
    <row r="151" spans="1:22" x14ac:dyDescent="0.2">
      <c r="B151" s="192"/>
      <c r="C151" s="198"/>
      <c r="D151" s="206" t="s">
        <v>4</v>
      </c>
      <c r="E151" s="205"/>
      <c r="F151" s="55">
        <f>'26-10 payroll'!J30</f>
        <v>0</v>
      </c>
      <c r="G151" s="55"/>
      <c r="H151" s="207"/>
      <c r="I151" s="195"/>
      <c r="J151" s="192"/>
      <c r="K151" s="198"/>
      <c r="L151" s="206" t="s">
        <v>4</v>
      </c>
      <c r="M151" s="205"/>
      <c r="N151" s="9">
        <f>'26-10 payroll'!K127</f>
        <v>0</v>
      </c>
      <c r="O151" s="9"/>
      <c r="P151" s="207"/>
      <c r="Q151" s="174"/>
    </row>
    <row r="152" spans="1:22" x14ac:dyDescent="0.2">
      <c r="B152" s="192"/>
      <c r="C152" s="198"/>
      <c r="D152" s="206" t="s">
        <v>96</v>
      </c>
      <c r="E152" s="205"/>
      <c r="F152" s="55">
        <f>'26-10 payroll'!K30</f>
        <v>0</v>
      </c>
      <c r="G152" s="55"/>
      <c r="H152" s="207"/>
      <c r="I152" s="195"/>
      <c r="J152" s="192"/>
      <c r="K152" s="198"/>
      <c r="L152" s="206" t="s">
        <v>96</v>
      </c>
      <c r="M152" s="205"/>
      <c r="N152" s="9">
        <f>'26-10 payroll'!L127</f>
        <v>0</v>
      </c>
      <c r="O152" s="9"/>
      <c r="P152" s="207"/>
      <c r="Q152" s="174"/>
    </row>
    <row r="153" spans="1:22" x14ac:dyDescent="0.2">
      <c r="B153" s="192"/>
      <c r="C153" s="198"/>
      <c r="D153" s="206" t="s">
        <v>37</v>
      </c>
      <c r="E153" s="205"/>
      <c r="F153" s="55">
        <f>'26-10 payroll'!L30</f>
        <v>0</v>
      </c>
      <c r="G153" s="55"/>
      <c r="H153" s="207"/>
      <c r="I153" s="195"/>
      <c r="J153" s="192"/>
      <c r="K153" s="198"/>
      <c r="L153" s="206" t="s">
        <v>37</v>
      </c>
      <c r="M153" s="205"/>
      <c r="N153" s="9">
        <f>'26-10 payroll'!M127</f>
        <v>0</v>
      </c>
      <c r="O153" s="9"/>
      <c r="P153" s="207"/>
    </row>
    <row r="154" spans="1:22" x14ac:dyDescent="0.2">
      <c r="B154" s="192"/>
      <c r="C154" s="198"/>
      <c r="D154" s="206" t="s">
        <v>38</v>
      </c>
      <c r="E154" s="205"/>
      <c r="F154" s="55">
        <f>'26-10 payroll'!O30</f>
        <v>0</v>
      </c>
      <c r="G154" s="55"/>
      <c r="H154" s="207"/>
      <c r="I154" s="195"/>
      <c r="J154" s="192"/>
      <c r="K154" s="198"/>
      <c r="L154" s="206" t="s">
        <v>38</v>
      </c>
      <c r="M154" s="205"/>
      <c r="N154" s="208">
        <f>'26-10 payroll'!R127</f>
        <v>0</v>
      </c>
      <c r="O154" s="9"/>
      <c r="P154" s="207"/>
    </row>
    <row r="155" spans="1:22" x14ac:dyDescent="0.2">
      <c r="B155" s="192"/>
      <c r="C155" s="198"/>
      <c r="D155" s="206" t="s">
        <v>98</v>
      </c>
      <c r="E155" s="205"/>
      <c r="F155" s="55">
        <f>+'26-10 payroll'!E64+'26-10 payroll'!F64+'26-10 payroll'!G64+'26-10 payroll'!H64</f>
        <v>0</v>
      </c>
      <c r="G155" s="55"/>
      <c r="H155" s="207"/>
      <c r="I155" s="195"/>
      <c r="J155" s="192"/>
      <c r="K155" s="198"/>
      <c r="L155" s="206" t="s">
        <v>98</v>
      </c>
      <c r="M155" s="205"/>
      <c r="N155" s="9">
        <f>+'26-10 payroll'!E65+'26-10 payroll'!F65+'26-10 payroll'!G65+'26-10 payroll'!H65</f>
        <v>0</v>
      </c>
      <c r="O155" s="9"/>
      <c r="P155" s="207"/>
    </row>
    <row r="156" spans="1:22" x14ac:dyDescent="0.2">
      <c r="B156" s="192"/>
      <c r="C156" s="198"/>
      <c r="D156" s="198" t="s">
        <v>43</v>
      </c>
      <c r="E156" s="205"/>
      <c r="F156" s="55">
        <f>'26-10 payroll'!D64</f>
        <v>0</v>
      </c>
      <c r="G156" s="55"/>
      <c r="H156" s="207"/>
      <c r="I156" s="195"/>
      <c r="J156" s="192"/>
      <c r="K156" s="198"/>
      <c r="L156" s="198" t="s">
        <v>43</v>
      </c>
      <c r="M156" s="205"/>
      <c r="N156" s="9">
        <f>'26-10 payroll'!J127</f>
        <v>0</v>
      </c>
      <c r="O156" s="9"/>
      <c r="P156" s="207"/>
    </row>
    <row r="157" spans="1:22" x14ac:dyDescent="0.2">
      <c r="B157" s="192"/>
      <c r="C157" s="198"/>
      <c r="D157" s="206" t="s">
        <v>39</v>
      </c>
      <c r="E157" s="205"/>
      <c r="F157" s="55">
        <f>'26-10 payroll'!F30+'26-10 payroll'!H30</f>
        <v>0</v>
      </c>
      <c r="G157" s="55"/>
      <c r="H157" s="209"/>
      <c r="I157" s="195"/>
      <c r="J157" s="192"/>
      <c r="K157" s="198"/>
      <c r="L157" s="206" t="s">
        <v>39</v>
      </c>
      <c r="M157" s="205"/>
      <c r="N157" s="9">
        <f>'26-10 payroll'!F127+'26-10 payroll'!H127</f>
        <v>0</v>
      </c>
      <c r="O157" s="9"/>
      <c r="P157" s="209"/>
      <c r="Q157" s="187"/>
    </row>
    <row r="158" spans="1:22" x14ac:dyDescent="0.2">
      <c r="B158" s="192"/>
      <c r="C158" s="198"/>
      <c r="D158" s="206" t="s">
        <v>97</v>
      </c>
      <c r="E158" s="205"/>
      <c r="F158" s="55">
        <f>'26-10 payroll'!N30</f>
        <v>0</v>
      </c>
      <c r="G158" s="55"/>
      <c r="H158" s="209"/>
      <c r="I158" s="195"/>
      <c r="J158" s="192"/>
      <c r="K158" s="198"/>
      <c r="L158" s="206" t="s">
        <v>97</v>
      </c>
      <c r="M158" s="205"/>
      <c r="N158" s="9">
        <f>'26-10 payroll'!Q127</f>
        <v>0</v>
      </c>
      <c r="O158" s="9"/>
      <c r="P158" s="209"/>
      <c r="Q158" s="187"/>
    </row>
    <row r="159" spans="1:22" x14ac:dyDescent="0.2">
      <c r="B159" s="192"/>
      <c r="C159" s="198"/>
      <c r="D159" s="198" t="s">
        <v>6</v>
      </c>
      <c r="E159" s="205"/>
      <c r="F159" s="55">
        <f>'26-10 payroll'!M30</f>
        <v>0</v>
      </c>
      <c r="G159" s="55"/>
      <c r="H159" s="211">
        <f>-SUM(F151:F159)</f>
        <v>0</v>
      </c>
      <c r="I159" s="195"/>
      <c r="J159" s="192"/>
      <c r="K159" s="198"/>
      <c r="L159" s="198" t="s">
        <v>6</v>
      </c>
      <c r="M159" s="205"/>
      <c r="N159" s="9">
        <f>'26-10 payroll'!P127</f>
        <v>0</v>
      </c>
      <c r="O159" s="9"/>
      <c r="P159" s="211">
        <f>-SUM(N151:N159)</f>
        <v>0</v>
      </c>
      <c r="Q159" s="187"/>
    </row>
    <row r="160" spans="1:22" ht="13.5" thickBot="1" x14ac:dyDescent="0.25">
      <c r="A160" s="174"/>
      <c r="B160" s="197" t="s">
        <v>40</v>
      </c>
      <c r="C160" s="212"/>
      <c r="D160" s="212"/>
      <c r="E160" s="212"/>
      <c r="F160" s="60"/>
      <c r="G160" s="60"/>
      <c r="H160" s="213">
        <f>SUM(H142:H159)</f>
        <v>1611</v>
      </c>
      <c r="I160" s="214"/>
      <c r="J160" s="197" t="s">
        <v>40</v>
      </c>
      <c r="K160" s="212"/>
      <c r="L160" s="212"/>
      <c r="M160" s="212"/>
      <c r="N160" s="12"/>
      <c r="O160" s="12"/>
      <c r="P160" s="213">
        <f>SUM(P142:P159)</f>
        <v>0</v>
      </c>
      <c r="Q160" s="174"/>
      <c r="T160" s="216">
        <f>+H160-'26-10 payroll'!S43</f>
        <v>0</v>
      </c>
      <c r="V160" s="237">
        <f>+P160-'26-10 payroll'!S44</f>
        <v>0</v>
      </c>
    </row>
    <row r="161" spans="2:17" ht="13.5" thickTop="1" x14ac:dyDescent="0.2">
      <c r="B161" s="192" t="s">
        <v>41</v>
      </c>
      <c r="C161" s="198"/>
      <c r="D161" s="198"/>
      <c r="E161" s="198"/>
      <c r="F161" s="55"/>
      <c r="G161" s="55"/>
      <c r="H161" s="194"/>
      <c r="I161" s="195"/>
      <c r="J161" s="192" t="s">
        <v>41</v>
      </c>
      <c r="K161" s="198"/>
      <c r="L161" s="198"/>
      <c r="M161" s="198"/>
      <c r="N161" s="9"/>
      <c r="O161" s="9"/>
      <c r="P161" s="194"/>
      <c r="Q161" s="187"/>
    </row>
    <row r="162" spans="2:17" x14ac:dyDescent="0.2">
      <c r="B162" s="192"/>
      <c r="C162" s="198"/>
      <c r="D162" s="198"/>
      <c r="E162" s="198"/>
      <c r="F162" s="55"/>
      <c r="G162" s="55"/>
      <c r="H162" s="194"/>
      <c r="I162" s="195"/>
      <c r="J162" s="192"/>
      <c r="K162" s="198"/>
      <c r="L162" s="198"/>
      <c r="M162" s="198"/>
      <c r="N162" s="9"/>
      <c r="O162" s="9"/>
      <c r="P162" s="194"/>
      <c r="Q162" s="174"/>
    </row>
    <row r="163" spans="2:17" x14ac:dyDescent="0.2">
      <c r="B163" s="192" t="s">
        <v>42</v>
      </c>
      <c r="C163" s="198"/>
      <c r="D163" s="198"/>
      <c r="E163" s="198"/>
      <c r="F163" s="61"/>
      <c r="G163" s="61"/>
      <c r="H163" s="194"/>
      <c r="I163" s="219"/>
      <c r="J163" s="192" t="s">
        <v>42</v>
      </c>
      <c r="K163" s="198"/>
      <c r="L163" s="198"/>
      <c r="M163" s="198"/>
      <c r="N163" s="13"/>
      <c r="O163" s="13"/>
      <c r="P163" s="194"/>
      <c r="Q163" s="174"/>
    </row>
    <row r="164" spans="2:17" ht="13.5" thickBot="1" x14ac:dyDescent="0.25">
      <c r="B164" s="229"/>
      <c r="C164" s="230"/>
      <c r="D164" s="230"/>
      <c r="E164" s="230"/>
      <c r="F164" s="62"/>
      <c r="G164" s="62"/>
      <c r="H164" s="231"/>
      <c r="I164" s="223"/>
      <c r="J164" s="224"/>
      <c r="K164" s="225"/>
      <c r="L164" s="225"/>
      <c r="M164" s="225"/>
      <c r="N164" s="14"/>
      <c r="O164" s="14"/>
      <c r="P164" s="226"/>
    </row>
    <row r="165" spans="2:17" x14ac:dyDescent="0.2">
      <c r="J165" s="170"/>
      <c r="K165" s="228"/>
      <c r="L165" s="228"/>
      <c r="M165" s="228"/>
      <c r="N165" s="7"/>
      <c r="O165" s="7"/>
      <c r="P165" s="228"/>
    </row>
  </sheetData>
  <sheetProtection password="A316" sheet="1" objects="1" scenarios="1"/>
  <protectedRanges>
    <protectedRange password="A316" sqref="A1:Q165" name="Payslip"/>
  </protectedRanges>
  <mergeCells count="60">
    <mergeCell ref="B2:H2"/>
    <mergeCell ref="J2:P2"/>
    <mergeCell ref="B3:H3"/>
    <mergeCell ref="J3:P3"/>
    <mergeCell ref="B5:H5"/>
    <mergeCell ref="J5:P5"/>
    <mergeCell ref="D7:F7"/>
    <mergeCell ref="L7:N7"/>
    <mergeCell ref="D8:F8"/>
    <mergeCell ref="L8:N8"/>
    <mergeCell ref="D9:F9"/>
    <mergeCell ref="L9:N9"/>
    <mergeCell ref="B35:H35"/>
    <mergeCell ref="J35:P35"/>
    <mergeCell ref="B36:H36"/>
    <mergeCell ref="J36:P36"/>
    <mergeCell ref="B38:H38"/>
    <mergeCell ref="J38:P38"/>
    <mergeCell ref="D40:F40"/>
    <mergeCell ref="L40:N40"/>
    <mergeCell ref="D41:F41"/>
    <mergeCell ref="L41:N41"/>
    <mergeCell ref="D42:F42"/>
    <mergeCell ref="L42:N42"/>
    <mergeCell ref="B68:H68"/>
    <mergeCell ref="J68:P68"/>
    <mergeCell ref="B69:H69"/>
    <mergeCell ref="J69:P69"/>
    <mergeCell ref="B71:H71"/>
    <mergeCell ref="J71:P71"/>
    <mergeCell ref="D73:F73"/>
    <mergeCell ref="L73:N73"/>
    <mergeCell ref="D74:F74"/>
    <mergeCell ref="L74:N74"/>
    <mergeCell ref="D75:F75"/>
    <mergeCell ref="L75:N75"/>
    <mergeCell ref="B101:H101"/>
    <mergeCell ref="J101:P101"/>
    <mergeCell ref="B102:H102"/>
    <mergeCell ref="J102:P102"/>
    <mergeCell ref="B104:H104"/>
    <mergeCell ref="J104:P104"/>
    <mergeCell ref="D106:F106"/>
    <mergeCell ref="L106:N106"/>
    <mergeCell ref="D107:F107"/>
    <mergeCell ref="L107:N107"/>
    <mergeCell ref="D108:F108"/>
    <mergeCell ref="L108:N108"/>
    <mergeCell ref="B134:H134"/>
    <mergeCell ref="J134:P134"/>
    <mergeCell ref="B135:H135"/>
    <mergeCell ref="J135:P135"/>
    <mergeCell ref="B137:H137"/>
    <mergeCell ref="J137:P137"/>
    <mergeCell ref="D139:F139"/>
    <mergeCell ref="L139:N139"/>
    <mergeCell ref="D140:F140"/>
    <mergeCell ref="L140:N140"/>
    <mergeCell ref="D141:F141"/>
    <mergeCell ref="L141:N141"/>
  </mergeCells>
  <printOptions horizontalCentered="1" verticalCentered="1"/>
  <pageMargins left="0.2" right="0.2" top="0.14000000000000001" bottom="0.13" header="0.12" footer="0.18"/>
  <pageSetup paperSize="5" scale="77" orientation="portrait" horizontalDpi="4294967293" verticalDpi="300" r:id="rId1"/>
  <headerFooter scaleWithDoc="0" alignWithMargins="0"/>
  <rowBreaks count="1" manualBreakCount="1">
    <brk id="99" max="16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00FF00"/>
  </sheetPr>
  <dimension ref="A1:Z67"/>
  <sheetViews>
    <sheetView zoomScaleSheetLayoutView="100" workbookViewId="0">
      <selection activeCell="AB26" sqref="AB26"/>
    </sheetView>
  </sheetViews>
  <sheetFormatPr defaultColWidth="9.140625" defaultRowHeight="12.75" x14ac:dyDescent="0.2"/>
  <cols>
    <col min="1" max="1" width="4.140625" style="126" customWidth="1"/>
    <col min="2" max="2" width="18" style="126" customWidth="1"/>
    <col min="3" max="3" width="13.85546875" style="126" customWidth="1"/>
    <col min="4" max="4" width="10" style="126" customWidth="1"/>
    <col min="5" max="5" width="9.42578125" style="126" bestFit="1" customWidth="1"/>
    <col min="6" max="6" width="12.140625" style="126" customWidth="1"/>
    <col min="7" max="7" width="11.28515625" style="126" bestFit="1" customWidth="1"/>
    <col min="8" max="8" width="10.28515625" style="126" bestFit="1" customWidth="1"/>
    <col min="9" max="9" width="10.28515625" style="126" customWidth="1"/>
    <col min="10" max="10" width="9.28515625" style="126" customWidth="1"/>
    <col min="11" max="11" width="8.140625" style="126" customWidth="1"/>
    <col min="12" max="12" width="8.28515625" style="126" customWidth="1"/>
    <col min="13" max="15" width="9.7109375" style="126" customWidth="1"/>
    <col min="16" max="16" width="10.28515625" style="126" bestFit="1" customWidth="1"/>
    <col min="17" max="17" width="9.28515625" style="126" bestFit="1" customWidth="1"/>
    <col min="18" max="18" width="10.140625" style="126" bestFit="1" customWidth="1"/>
    <col min="19" max="19" width="10.28515625" style="126" customWidth="1"/>
    <col min="20" max="20" width="9.42578125" style="126" bestFit="1" customWidth="1"/>
    <col min="21" max="21" width="10" style="126" customWidth="1"/>
    <col min="22" max="22" width="10.28515625" style="126" customWidth="1"/>
    <col min="23" max="23" width="11.7109375" style="126" customWidth="1"/>
    <col min="24" max="24" width="10.42578125" style="126" customWidth="1"/>
    <col min="25" max="25" width="9.140625" style="126" customWidth="1"/>
    <col min="26" max="26" width="8.7109375" style="126" customWidth="1"/>
    <col min="27" max="16384" width="9.140625" style="126"/>
  </cols>
  <sheetData>
    <row r="1" spans="1:26" s="124" customFormat="1" ht="15.75" x14ac:dyDescent="0.25">
      <c r="A1" s="238" t="s">
        <v>106</v>
      </c>
      <c r="B1" s="238"/>
      <c r="C1" s="239"/>
    </row>
    <row r="2" spans="1:26" s="124" customFormat="1" ht="15.75" x14ac:dyDescent="0.25">
      <c r="A2" s="240" t="s">
        <v>12</v>
      </c>
      <c r="B2" s="240"/>
      <c r="C2" s="241"/>
      <c r="D2" s="125" t="str">
        <f>+'26-10 payroll'!D2</f>
        <v>VALERO</v>
      </c>
      <c r="E2" s="125"/>
      <c r="F2" s="125"/>
      <c r="I2" s="272"/>
      <c r="J2" s="272"/>
    </row>
    <row r="3" spans="1:26" s="124" customFormat="1" ht="15.75" x14ac:dyDescent="0.25">
      <c r="A3" s="238" t="s">
        <v>11</v>
      </c>
      <c r="B3" s="238"/>
      <c r="C3" s="241"/>
      <c r="D3" s="125" t="s">
        <v>271</v>
      </c>
      <c r="E3" s="125"/>
      <c r="F3" s="125"/>
    </row>
    <row r="4" spans="1:26" ht="13.5" thickBot="1" x14ac:dyDescent="0.25">
      <c r="C4" s="127"/>
      <c r="Q4" s="128"/>
      <c r="S4" s="128"/>
    </row>
    <row r="5" spans="1:26" s="138" customFormat="1" ht="11.25" customHeight="1" x14ac:dyDescent="0.2">
      <c r="A5" s="433"/>
      <c r="B5" s="435" t="s">
        <v>0</v>
      </c>
      <c r="C5" s="406" t="s">
        <v>1</v>
      </c>
      <c r="D5" s="385" t="s">
        <v>13</v>
      </c>
      <c r="E5" s="406" t="s">
        <v>14</v>
      </c>
      <c r="F5" s="385" t="s">
        <v>15</v>
      </c>
      <c r="G5" s="406" t="s">
        <v>16</v>
      </c>
      <c r="H5" s="385" t="s">
        <v>44</v>
      </c>
      <c r="I5" s="402" t="s">
        <v>118</v>
      </c>
      <c r="J5" s="410" t="s">
        <v>91</v>
      </c>
      <c r="K5" s="411"/>
      <c r="L5" s="412"/>
      <c r="M5" s="422" t="s">
        <v>108</v>
      </c>
      <c r="N5" s="423"/>
      <c r="O5" s="423"/>
      <c r="P5" s="406" t="s">
        <v>2</v>
      </c>
      <c r="Q5" s="385" t="s">
        <v>17</v>
      </c>
      <c r="R5" s="406" t="s">
        <v>2</v>
      </c>
      <c r="S5" s="385" t="s">
        <v>18</v>
      </c>
      <c r="T5" s="406" t="s">
        <v>2</v>
      </c>
      <c r="U5" s="385" t="s">
        <v>19</v>
      </c>
      <c r="V5" s="406" t="s">
        <v>2</v>
      </c>
      <c r="W5" s="385" t="s">
        <v>20</v>
      </c>
      <c r="X5" s="387" t="s">
        <v>3</v>
      </c>
    </row>
    <row r="6" spans="1:26" s="138" customFormat="1" ht="27" customHeight="1" thickBot="1" x14ac:dyDescent="0.25">
      <c r="A6" s="434"/>
      <c r="B6" s="407"/>
      <c r="C6" s="407"/>
      <c r="D6" s="421"/>
      <c r="E6" s="426"/>
      <c r="F6" s="421"/>
      <c r="G6" s="426"/>
      <c r="H6" s="386"/>
      <c r="I6" s="403"/>
      <c r="J6" s="242" t="s">
        <v>92</v>
      </c>
      <c r="K6" s="242" t="s">
        <v>93</v>
      </c>
      <c r="L6" s="242" t="s">
        <v>94</v>
      </c>
      <c r="M6" s="243" t="s">
        <v>109</v>
      </c>
      <c r="N6" s="243" t="s">
        <v>17</v>
      </c>
      <c r="O6" s="243" t="s">
        <v>18</v>
      </c>
      <c r="P6" s="407"/>
      <c r="Q6" s="421"/>
      <c r="R6" s="407"/>
      <c r="S6" s="421"/>
      <c r="T6" s="407"/>
      <c r="U6" s="421"/>
      <c r="V6" s="407"/>
      <c r="W6" s="386"/>
      <c r="X6" s="388"/>
    </row>
    <row r="7" spans="1:26" s="138" customFormat="1" ht="12" customHeight="1" x14ac:dyDescent="0.2">
      <c r="A7" s="129">
        <v>1</v>
      </c>
      <c r="B7" s="22" t="str">
        <f>+'26-10 payroll'!B7</f>
        <v>Biarcal, Ronald Glenn</v>
      </c>
      <c r="C7" s="123" t="str">
        <f>+'26-10 payroll'!C7</f>
        <v>M.T.Purchaser</v>
      </c>
      <c r="D7" s="73">
        <f>5538+130+195+195+(15*13)+(21*13)</f>
        <v>6526</v>
      </c>
      <c r="E7" s="130">
        <f t="shared" ref="E7:E16" si="0">+D7/13</f>
        <v>502</v>
      </c>
      <c r="F7" s="131"/>
      <c r="G7" s="132">
        <f>+D7</f>
        <v>6526</v>
      </c>
      <c r="H7" s="20">
        <f>(F7+J7+K7+L7+Q7)*10</f>
        <v>0</v>
      </c>
      <c r="I7" s="20"/>
      <c r="J7" s="17"/>
      <c r="K7" s="17"/>
      <c r="L7" s="17"/>
      <c r="M7" s="133"/>
      <c r="N7" s="133"/>
      <c r="O7" s="133"/>
      <c r="P7" s="233">
        <f>(((E7/8)*1.25)*M7)+((((E7/8)*N7)*200%)*130%)+((((E7/8)*130%)*130%)*O7)</f>
        <v>0</v>
      </c>
      <c r="Q7" s="134"/>
      <c r="R7" s="21">
        <f>+Q7*E7</f>
        <v>0</v>
      </c>
      <c r="S7" s="17"/>
      <c r="T7" s="135">
        <f>(+S7*E7)*0.3</f>
        <v>0</v>
      </c>
      <c r="U7" s="17"/>
      <c r="V7" s="21">
        <f>(E7/8/10)*U7</f>
        <v>0</v>
      </c>
      <c r="W7" s="136"/>
      <c r="X7" s="137">
        <f>+G7+H7+P7+R7+T7+V7+W7+I7</f>
        <v>6526</v>
      </c>
      <c r="Y7" s="142"/>
      <c r="Z7" s="142"/>
    </row>
    <row r="8" spans="1:26" s="138" customFormat="1" ht="12" customHeight="1" x14ac:dyDescent="0.2">
      <c r="A8" s="139">
        <v>2</v>
      </c>
      <c r="B8" s="22" t="s">
        <v>149</v>
      </c>
      <c r="C8" s="72" t="s">
        <v>150</v>
      </c>
      <c r="D8" s="73">
        <f>6253+(21*13)</f>
        <v>6526</v>
      </c>
      <c r="E8" s="130">
        <f t="shared" si="0"/>
        <v>502</v>
      </c>
      <c r="F8" s="140"/>
      <c r="G8" s="141">
        <f>+D8</f>
        <v>6526</v>
      </c>
      <c r="H8" s="21">
        <f>(F8+J8+K8+L8+Q8)*10</f>
        <v>0</v>
      </c>
      <c r="I8" s="21"/>
      <c r="J8" s="15"/>
      <c r="K8" s="15"/>
      <c r="L8" s="15"/>
      <c r="M8" s="73"/>
      <c r="N8" s="73"/>
      <c r="O8" s="73"/>
      <c r="P8" s="233">
        <f t="shared" ref="P8:P16" si="1">(((E8/8)*1.25)*M8)+((((E8/8)*N8)*200%)*130%)+((((E8/8)*130%)*130%)*O8)</f>
        <v>0</v>
      </c>
      <c r="Q8" s="73"/>
      <c r="R8" s="21">
        <f t="shared" ref="R8:R13" si="2">+Q8*E8</f>
        <v>0</v>
      </c>
      <c r="S8" s="15"/>
      <c r="T8" s="21">
        <f t="shared" ref="T8:T16" si="3">(+S8*E8)*0.3</f>
        <v>0</v>
      </c>
      <c r="U8" s="15"/>
      <c r="V8" s="21">
        <f t="shared" ref="V8:V16" si="4">(E8/8/10)*U8</f>
        <v>0</v>
      </c>
      <c r="W8" s="15"/>
      <c r="X8" s="137">
        <f t="shared" ref="X8:X16" si="5">+G8+H8+P8+R8+T8+V8+W8+I8</f>
        <v>6526</v>
      </c>
      <c r="Y8" s="142"/>
      <c r="Z8" s="142"/>
    </row>
    <row r="9" spans="1:26" s="138" customFormat="1" ht="12" customHeight="1" x14ac:dyDescent="0.2">
      <c r="A9" s="139">
        <v>3</v>
      </c>
      <c r="B9" s="22" t="str">
        <f>+'26-10 payroll'!B9</f>
        <v>Dino, Joyce</v>
      </c>
      <c r="C9" s="72" t="str">
        <f>+'26-10 payroll'!C9</f>
        <v>Store Manager</v>
      </c>
      <c r="D9" s="73">
        <f>(20000/2)+(21*13)</f>
        <v>10273</v>
      </c>
      <c r="E9" s="130">
        <f t="shared" si="0"/>
        <v>790.23076923076928</v>
      </c>
      <c r="F9" s="140"/>
      <c r="G9" s="141">
        <f>D9</f>
        <v>10273</v>
      </c>
      <c r="H9" s="21">
        <f t="shared" ref="H9:H16" si="6">(F9+J9+K9+L9+Q9)*10</f>
        <v>0</v>
      </c>
      <c r="I9" s="21">
        <f>50</f>
        <v>50</v>
      </c>
      <c r="J9" s="15"/>
      <c r="K9" s="15"/>
      <c r="L9" s="15"/>
      <c r="M9" s="73"/>
      <c r="N9" s="73"/>
      <c r="O9" s="73"/>
      <c r="P9" s="233">
        <f t="shared" si="1"/>
        <v>0</v>
      </c>
      <c r="Q9" s="73"/>
      <c r="R9" s="21">
        <f t="shared" si="2"/>
        <v>0</v>
      </c>
      <c r="S9" s="15"/>
      <c r="T9" s="21">
        <f t="shared" si="3"/>
        <v>0</v>
      </c>
      <c r="U9" s="15"/>
      <c r="V9" s="21">
        <f t="shared" si="4"/>
        <v>0</v>
      </c>
      <c r="W9" s="15"/>
      <c r="X9" s="137">
        <f t="shared" si="5"/>
        <v>10323</v>
      </c>
      <c r="Y9" s="142"/>
      <c r="Z9" s="142"/>
    </row>
    <row r="10" spans="1:26" s="138" customFormat="1" ht="12" customHeight="1" x14ac:dyDescent="0.2">
      <c r="A10" s="139">
        <v>4</v>
      </c>
      <c r="B10" s="22" t="str">
        <f>+'26-10 payroll'!B10</f>
        <v xml:space="preserve">Sosa, Anna Marie </v>
      </c>
      <c r="C10" s="72" t="str">
        <f>+'26-10 payroll'!C10</f>
        <v>M.T.Bookkeeper</v>
      </c>
      <c r="D10" s="73">
        <f>5538+130+195+195+(15*13)+(21*13)</f>
        <v>6526</v>
      </c>
      <c r="E10" s="130">
        <f t="shared" si="0"/>
        <v>502</v>
      </c>
      <c r="F10" s="140"/>
      <c r="G10" s="141">
        <f t="shared" ref="G10:G16" si="7">+D10</f>
        <v>6526</v>
      </c>
      <c r="H10" s="21">
        <f t="shared" si="6"/>
        <v>0</v>
      </c>
      <c r="I10" s="21"/>
      <c r="J10" s="15"/>
      <c r="K10" s="15"/>
      <c r="L10" s="15"/>
      <c r="M10" s="73"/>
      <c r="N10" s="73"/>
      <c r="O10" s="73"/>
      <c r="P10" s="233">
        <f t="shared" si="1"/>
        <v>0</v>
      </c>
      <c r="Q10" s="73"/>
      <c r="R10" s="21">
        <f t="shared" si="2"/>
        <v>0</v>
      </c>
      <c r="S10" s="15"/>
      <c r="T10" s="21">
        <f t="shared" si="3"/>
        <v>0</v>
      </c>
      <c r="U10" s="15"/>
      <c r="V10" s="21">
        <f t="shared" si="4"/>
        <v>0</v>
      </c>
      <c r="W10" s="15"/>
      <c r="X10" s="137">
        <f t="shared" si="5"/>
        <v>6526</v>
      </c>
      <c r="Y10" s="142"/>
      <c r="Z10" s="142"/>
    </row>
    <row r="11" spans="1:26" s="138" customFormat="1" ht="12" customHeight="1" x14ac:dyDescent="0.2">
      <c r="A11" s="139">
        <v>5</v>
      </c>
      <c r="B11" s="22" t="s">
        <v>203</v>
      </c>
      <c r="C11" s="72" t="s">
        <v>204</v>
      </c>
      <c r="D11" s="73">
        <f>6253+(21*13)</f>
        <v>6526</v>
      </c>
      <c r="E11" s="130">
        <f t="shared" si="0"/>
        <v>502</v>
      </c>
      <c r="F11" s="140"/>
      <c r="G11" s="141">
        <f t="shared" si="7"/>
        <v>6526</v>
      </c>
      <c r="H11" s="21">
        <f t="shared" si="6"/>
        <v>0</v>
      </c>
      <c r="I11" s="21"/>
      <c r="J11" s="15"/>
      <c r="K11" s="15"/>
      <c r="L11" s="15"/>
      <c r="M11" s="73"/>
      <c r="N11" s="73"/>
      <c r="O11" s="73"/>
      <c r="P11" s="233">
        <f t="shared" si="1"/>
        <v>0</v>
      </c>
      <c r="Q11" s="73"/>
      <c r="R11" s="21">
        <f t="shared" si="2"/>
        <v>0</v>
      </c>
      <c r="S11" s="15"/>
      <c r="T11" s="21">
        <f t="shared" si="3"/>
        <v>0</v>
      </c>
      <c r="U11" s="15"/>
      <c r="V11" s="21">
        <f t="shared" si="4"/>
        <v>0</v>
      </c>
      <c r="W11" s="15"/>
      <c r="X11" s="137">
        <f t="shared" si="5"/>
        <v>6526</v>
      </c>
    </row>
    <row r="12" spans="1:26" s="138" customFormat="1" ht="12" customHeight="1" x14ac:dyDescent="0.2">
      <c r="A12" s="139">
        <v>6</v>
      </c>
      <c r="B12" s="22"/>
      <c r="C12" s="72"/>
      <c r="D12" s="73"/>
      <c r="E12" s="130">
        <f t="shared" si="0"/>
        <v>0</v>
      </c>
      <c r="F12" s="140"/>
      <c r="G12" s="141">
        <f t="shared" si="7"/>
        <v>0</v>
      </c>
      <c r="H12" s="21">
        <f t="shared" si="6"/>
        <v>0</v>
      </c>
      <c r="I12" s="21"/>
      <c r="J12" s="15"/>
      <c r="K12" s="15"/>
      <c r="L12" s="15"/>
      <c r="M12" s="73"/>
      <c r="N12" s="73"/>
      <c r="O12" s="73"/>
      <c r="P12" s="233">
        <f t="shared" si="1"/>
        <v>0</v>
      </c>
      <c r="Q12" s="73"/>
      <c r="R12" s="21">
        <f t="shared" si="2"/>
        <v>0</v>
      </c>
      <c r="S12" s="15"/>
      <c r="T12" s="21">
        <f t="shared" si="3"/>
        <v>0</v>
      </c>
      <c r="U12" s="15"/>
      <c r="V12" s="21">
        <f t="shared" si="4"/>
        <v>0</v>
      </c>
      <c r="W12" s="15"/>
      <c r="X12" s="137">
        <f t="shared" si="5"/>
        <v>0</v>
      </c>
    </row>
    <row r="13" spans="1:26" s="138" customFormat="1" ht="12" customHeight="1" x14ac:dyDescent="0.2">
      <c r="A13" s="139">
        <v>7</v>
      </c>
      <c r="B13" s="22"/>
      <c r="C13" s="72"/>
      <c r="D13" s="73"/>
      <c r="E13" s="130">
        <f t="shared" si="0"/>
        <v>0</v>
      </c>
      <c r="F13" s="140"/>
      <c r="G13" s="141">
        <f t="shared" si="7"/>
        <v>0</v>
      </c>
      <c r="H13" s="21">
        <f t="shared" si="6"/>
        <v>0</v>
      </c>
      <c r="I13" s="21"/>
      <c r="J13" s="15"/>
      <c r="K13" s="15"/>
      <c r="L13" s="15"/>
      <c r="M13" s="73"/>
      <c r="N13" s="73"/>
      <c r="O13" s="73"/>
      <c r="P13" s="233">
        <f t="shared" si="1"/>
        <v>0</v>
      </c>
      <c r="Q13" s="73"/>
      <c r="R13" s="21">
        <f t="shared" si="2"/>
        <v>0</v>
      </c>
      <c r="S13" s="15"/>
      <c r="T13" s="21">
        <f t="shared" si="3"/>
        <v>0</v>
      </c>
      <c r="U13" s="15"/>
      <c r="V13" s="21">
        <f t="shared" si="4"/>
        <v>0</v>
      </c>
      <c r="W13" s="15"/>
      <c r="X13" s="137">
        <f t="shared" si="5"/>
        <v>0</v>
      </c>
    </row>
    <row r="14" spans="1:26" s="138" customFormat="1" ht="12" customHeight="1" x14ac:dyDescent="0.2">
      <c r="A14" s="139">
        <v>8</v>
      </c>
      <c r="B14" s="22"/>
      <c r="C14" s="72"/>
      <c r="D14" s="73"/>
      <c r="E14" s="130">
        <f t="shared" si="0"/>
        <v>0</v>
      </c>
      <c r="F14" s="140"/>
      <c r="G14" s="141">
        <f t="shared" si="7"/>
        <v>0</v>
      </c>
      <c r="H14" s="21">
        <f t="shared" si="6"/>
        <v>0</v>
      </c>
      <c r="I14" s="1"/>
      <c r="J14" s="15"/>
      <c r="K14" s="15"/>
      <c r="L14" s="15"/>
      <c r="M14" s="73"/>
      <c r="N14" s="73"/>
      <c r="O14" s="73"/>
      <c r="P14" s="233">
        <f t="shared" si="1"/>
        <v>0</v>
      </c>
      <c r="Q14" s="73"/>
      <c r="R14" s="21">
        <f>+Q14*E14</f>
        <v>0</v>
      </c>
      <c r="S14" s="73"/>
      <c r="T14" s="21">
        <f t="shared" si="3"/>
        <v>0</v>
      </c>
      <c r="U14" s="73"/>
      <c r="V14" s="21">
        <f t="shared" si="4"/>
        <v>0</v>
      </c>
      <c r="W14" s="15"/>
      <c r="X14" s="137">
        <f t="shared" si="5"/>
        <v>0</v>
      </c>
    </row>
    <row r="15" spans="1:26" s="138" customFormat="1" ht="12" customHeight="1" x14ac:dyDescent="0.2">
      <c r="A15" s="139">
        <v>9</v>
      </c>
      <c r="B15" s="22"/>
      <c r="C15" s="72"/>
      <c r="D15" s="73"/>
      <c r="E15" s="130">
        <f t="shared" si="0"/>
        <v>0</v>
      </c>
      <c r="F15" s="140"/>
      <c r="G15" s="141">
        <f t="shared" si="7"/>
        <v>0</v>
      </c>
      <c r="H15" s="21">
        <f t="shared" si="6"/>
        <v>0</v>
      </c>
      <c r="I15" s="1"/>
      <c r="J15" s="15"/>
      <c r="K15" s="15"/>
      <c r="L15" s="15"/>
      <c r="M15" s="73"/>
      <c r="N15" s="73"/>
      <c r="O15" s="73"/>
      <c r="P15" s="233">
        <f t="shared" si="1"/>
        <v>0</v>
      </c>
      <c r="Q15" s="73"/>
      <c r="R15" s="21">
        <f>+Q15*E15</f>
        <v>0</v>
      </c>
      <c r="S15" s="73"/>
      <c r="T15" s="21">
        <f t="shared" si="3"/>
        <v>0</v>
      </c>
      <c r="U15" s="73"/>
      <c r="V15" s="21">
        <f t="shared" si="4"/>
        <v>0</v>
      </c>
      <c r="W15" s="15"/>
      <c r="X15" s="137">
        <f t="shared" si="5"/>
        <v>0</v>
      </c>
    </row>
    <row r="16" spans="1:26" s="138" customFormat="1" ht="12" customHeight="1" x14ac:dyDescent="0.2">
      <c r="A16" s="139">
        <v>10</v>
      </c>
      <c r="B16" s="22"/>
      <c r="C16" s="72"/>
      <c r="D16" s="73"/>
      <c r="E16" s="130">
        <f t="shared" si="0"/>
        <v>0</v>
      </c>
      <c r="F16" s="140"/>
      <c r="G16" s="141">
        <f t="shared" si="7"/>
        <v>0</v>
      </c>
      <c r="H16" s="21">
        <f t="shared" si="6"/>
        <v>0</v>
      </c>
      <c r="I16" s="1"/>
      <c r="J16" s="15"/>
      <c r="K16" s="15"/>
      <c r="L16" s="15"/>
      <c r="M16" s="73"/>
      <c r="N16" s="73"/>
      <c r="O16" s="73"/>
      <c r="P16" s="233">
        <f t="shared" si="1"/>
        <v>0</v>
      </c>
      <c r="Q16" s="73"/>
      <c r="R16" s="21">
        <f>+Q16*E16</f>
        <v>0</v>
      </c>
      <c r="S16" s="73"/>
      <c r="T16" s="21">
        <f t="shared" si="3"/>
        <v>0</v>
      </c>
      <c r="U16" s="73"/>
      <c r="V16" s="21">
        <f t="shared" si="4"/>
        <v>0</v>
      </c>
      <c r="W16" s="15"/>
      <c r="X16" s="137">
        <f t="shared" si="5"/>
        <v>0</v>
      </c>
    </row>
    <row r="17" spans="1:24" s="138" customFormat="1" ht="12" customHeight="1" x14ac:dyDescent="0.2">
      <c r="A17" s="139"/>
      <c r="B17" s="143"/>
      <c r="C17" s="144"/>
      <c r="D17" s="73"/>
      <c r="E17" s="130"/>
      <c r="F17" s="145"/>
      <c r="G17" s="141"/>
      <c r="H17" s="21"/>
      <c r="I17" s="21"/>
      <c r="J17" s="15"/>
      <c r="K17" s="15"/>
      <c r="L17" s="15"/>
      <c r="M17" s="144"/>
      <c r="N17" s="144"/>
      <c r="O17" s="144"/>
      <c r="P17" s="21"/>
      <c r="Q17" s="144"/>
      <c r="R17" s="21"/>
      <c r="S17" s="144"/>
      <c r="T17" s="21"/>
      <c r="U17" s="144"/>
      <c r="V17" s="21"/>
      <c r="W17" s="15"/>
      <c r="X17" s="137">
        <f>+G17+H17+P17+R17+T17+V17+W17</f>
        <v>0</v>
      </c>
    </row>
    <row r="18" spans="1:24" s="138" customFormat="1" ht="12" customHeight="1" thickBot="1" x14ac:dyDescent="0.25">
      <c r="A18" s="146"/>
      <c r="B18" s="147"/>
      <c r="C18" s="148"/>
      <c r="D18" s="4">
        <f>SUM(D7:D17)</f>
        <v>36377</v>
      </c>
      <c r="E18" s="3">
        <f>SUM(E7:E17)</f>
        <v>2798.2307692307695</v>
      </c>
      <c r="F18" s="4"/>
      <c r="G18" s="3">
        <f>SUM(G7:G17)</f>
        <v>36377</v>
      </c>
      <c r="H18" s="3">
        <f>SUM(H7:H16)</f>
        <v>0</v>
      </c>
      <c r="I18" s="3">
        <f>SUM(I7:I16)</f>
        <v>50</v>
      </c>
      <c r="J18" s="4"/>
      <c r="K18" s="4"/>
      <c r="L18" s="4"/>
      <c r="M18" s="4"/>
      <c r="N18" s="4"/>
      <c r="O18" s="4"/>
      <c r="P18" s="3">
        <f>SUM(P7:P16)</f>
        <v>0</v>
      </c>
      <c r="Q18" s="4"/>
      <c r="R18" s="3">
        <f>SUM(R7:R16)</f>
        <v>0</v>
      </c>
      <c r="S18" s="4"/>
      <c r="T18" s="3">
        <f>SUM(T7:T16)</f>
        <v>0</v>
      </c>
      <c r="U18" s="6"/>
      <c r="V18" s="3">
        <f>SUM(V7:V16)</f>
        <v>0</v>
      </c>
      <c r="W18" s="4"/>
      <c r="X18" s="3">
        <f>SUM(X7:X16)</f>
        <v>36427</v>
      </c>
    </row>
    <row r="19" spans="1:24" s="138" customFormat="1" ht="12" thickBot="1" x14ac:dyDescent="0.25">
      <c r="A19" s="149"/>
      <c r="B19" s="150"/>
      <c r="C19" s="151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</row>
    <row r="20" spans="1:24" s="138" customFormat="1" ht="11.25" customHeight="1" x14ac:dyDescent="0.2">
      <c r="A20" s="389"/>
      <c r="B20" s="391" t="s">
        <v>0</v>
      </c>
      <c r="C20" s="393" t="s">
        <v>1</v>
      </c>
      <c r="D20" s="395" t="s">
        <v>3</v>
      </c>
      <c r="E20" s="397" t="s">
        <v>22</v>
      </c>
      <c r="F20" s="404" t="s">
        <v>2</v>
      </c>
      <c r="G20" s="393" t="s">
        <v>21</v>
      </c>
      <c r="H20" s="395" t="s">
        <v>2</v>
      </c>
      <c r="I20" s="400" t="s">
        <v>126</v>
      </c>
      <c r="J20" s="417" t="s">
        <v>4</v>
      </c>
      <c r="K20" s="419" t="s">
        <v>23</v>
      </c>
      <c r="L20" s="395" t="s">
        <v>5</v>
      </c>
      <c r="M20" s="395" t="s">
        <v>6</v>
      </c>
      <c r="N20" s="395" t="s">
        <v>24</v>
      </c>
      <c r="O20" s="395" t="s">
        <v>7</v>
      </c>
      <c r="P20" s="415" t="s">
        <v>3</v>
      </c>
      <c r="Q20" s="244"/>
      <c r="R20" s="152" t="s">
        <v>103</v>
      </c>
      <c r="S20" s="244"/>
    </row>
    <row r="21" spans="1:24" s="138" customFormat="1" ht="15" customHeight="1" thickBot="1" x14ac:dyDescent="0.25">
      <c r="A21" s="390"/>
      <c r="B21" s="392"/>
      <c r="C21" s="394"/>
      <c r="D21" s="396"/>
      <c r="E21" s="398"/>
      <c r="F21" s="405"/>
      <c r="G21" s="449"/>
      <c r="H21" s="399"/>
      <c r="I21" s="401"/>
      <c r="J21" s="418"/>
      <c r="K21" s="420"/>
      <c r="L21" s="399"/>
      <c r="M21" s="399"/>
      <c r="N21" s="396"/>
      <c r="O21" s="399"/>
      <c r="P21" s="416"/>
      <c r="R21" s="250" t="str">
        <f>D3</f>
        <v>August 11-25</v>
      </c>
    </row>
    <row r="22" spans="1:24" s="138" customFormat="1" ht="12" customHeight="1" x14ac:dyDescent="0.2">
      <c r="A22" s="153">
        <v>1</v>
      </c>
      <c r="B22" s="49" t="str">
        <f>+B7</f>
        <v>Biarcal, Ronald Glenn</v>
      </c>
      <c r="C22" s="247" t="str">
        <f>+C7</f>
        <v>M.T.Purchaser</v>
      </c>
      <c r="D22" s="154">
        <f t="shared" ref="D22:D31" si="8">+X7</f>
        <v>6526</v>
      </c>
      <c r="E22" s="17"/>
      <c r="F22" s="20">
        <f>+E22*E7</f>
        <v>0</v>
      </c>
      <c r="G22" s="17"/>
      <c r="H22" s="20">
        <f>(+E7/8)*G22</f>
        <v>0</v>
      </c>
      <c r="I22" s="133"/>
      <c r="J22" s="15">
        <f>'[1]summary of contribution'!$J$18</f>
        <v>472.3</v>
      </c>
      <c r="K22" s="17">
        <f>1199.77-500</f>
        <v>699.77</v>
      </c>
      <c r="L22" s="15">
        <v>150</v>
      </c>
      <c r="M22" s="17"/>
      <c r="N22" s="17">
        <v>579.26</v>
      </c>
      <c r="O22" s="17">
        <f>+'[1]summary of contribution'!$Q$18</f>
        <v>0</v>
      </c>
      <c r="P22" s="158">
        <f>+D22-F22-H22-J22-K22-L22-M22-N22-O22-I22</f>
        <v>4624.67</v>
      </c>
      <c r="R22" s="71">
        <f t="shared" ref="R22:R31" si="9">G7+H7+P7+R7+T7+V7+W7-F22-H22</f>
        <v>6526</v>
      </c>
    </row>
    <row r="23" spans="1:24" s="138" customFormat="1" ht="12" customHeight="1" x14ac:dyDescent="0.2">
      <c r="A23" s="139">
        <v>2</v>
      </c>
      <c r="B23" s="22" t="str">
        <f>+B8</f>
        <v>Sanchez, Angelo</v>
      </c>
      <c r="C23" s="248" t="str">
        <f>+C8</f>
        <v>Head Cook</v>
      </c>
      <c r="D23" s="141">
        <f t="shared" si="8"/>
        <v>6526</v>
      </c>
      <c r="E23" s="15"/>
      <c r="F23" s="21">
        <f t="shared" ref="F23:F31" si="10">+E23*E8</f>
        <v>0</v>
      </c>
      <c r="G23" s="15"/>
      <c r="H23" s="21">
        <f t="shared" ref="H23:H31" si="11">(+E8/8)*G23</f>
        <v>0</v>
      </c>
      <c r="I23" s="73"/>
      <c r="J23" s="15">
        <f>'[1]summary of contribution'!$J$19</f>
        <v>472.3</v>
      </c>
      <c r="K23" s="15"/>
      <c r="L23" s="15">
        <v>150</v>
      </c>
      <c r="M23" s="15"/>
      <c r="N23" s="15"/>
      <c r="O23" s="15"/>
      <c r="P23" s="158">
        <f t="shared" ref="P23:P31" si="12">+D23-F23-H23-J23-K23-L23-M23-N23-O23-I23</f>
        <v>5903.7</v>
      </c>
      <c r="R23" s="71">
        <f t="shared" si="9"/>
        <v>6526</v>
      </c>
    </row>
    <row r="24" spans="1:24" s="138" customFormat="1" ht="12" customHeight="1" x14ac:dyDescent="0.2">
      <c r="A24" s="139">
        <v>3</v>
      </c>
      <c r="B24" s="22" t="str">
        <f>+B9</f>
        <v>Dino, Joyce</v>
      </c>
      <c r="C24" s="248" t="str">
        <f>C9</f>
        <v>Store Manager</v>
      </c>
      <c r="D24" s="141">
        <f t="shared" si="8"/>
        <v>10323</v>
      </c>
      <c r="E24" s="15"/>
      <c r="F24" s="21">
        <f t="shared" si="10"/>
        <v>0</v>
      </c>
      <c r="G24" s="15"/>
      <c r="H24" s="21">
        <f t="shared" si="11"/>
        <v>0</v>
      </c>
      <c r="I24" s="73"/>
      <c r="J24" s="15">
        <f>'[1]summary of contribution'!$J$20</f>
        <v>581.29999999999995</v>
      </c>
      <c r="K24" s="15">
        <v>1476.64</v>
      </c>
      <c r="L24" s="15">
        <v>200</v>
      </c>
      <c r="M24" s="15"/>
      <c r="N24" s="15"/>
      <c r="O24" s="15">
        <v>0</v>
      </c>
      <c r="P24" s="158">
        <f t="shared" si="12"/>
        <v>8065.0600000000013</v>
      </c>
      <c r="R24" s="71">
        <f t="shared" si="9"/>
        <v>10273</v>
      </c>
    </row>
    <row r="25" spans="1:24" s="138" customFormat="1" ht="12" customHeight="1" x14ac:dyDescent="0.2">
      <c r="A25" s="139">
        <v>4</v>
      </c>
      <c r="B25" s="22" t="str">
        <f>+B10</f>
        <v xml:space="preserve">Sosa, Anna Marie </v>
      </c>
      <c r="C25" s="248" t="str">
        <f>C10</f>
        <v>M.T.Bookkeeper</v>
      </c>
      <c r="D25" s="141">
        <f t="shared" si="8"/>
        <v>6526</v>
      </c>
      <c r="E25" s="15"/>
      <c r="F25" s="21">
        <f t="shared" si="10"/>
        <v>0</v>
      </c>
      <c r="G25" s="15"/>
      <c r="H25" s="21">
        <f t="shared" si="11"/>
        <v>0</v>
      </c>
      <c r="I25" s="73"/>
      <c r="J25" s="15">
        <f>'[1]summary of contribution'!$J$21</f>
        <v>490.5</v>
      </c>
      <c r="K25" s="15">
        <v>0</v>
      </c>
      <c r="L25" s="15">
        <v>150</v>
      </c>
      <c r="M25" s="15"/>
      <c r="N25" s="15">
        <v>448.73</v>
      </c>
      <c r="O25" s="15">
        <f>+'[1]summary of contribution'!$Q$21</f>
        <v>0</v>
      </c>
      <c r="P25" s="158">
        <f t="shared" si="12"/>
        <v>5436.77</v>
      </c>
      <c r="R25" s="71">
        <f t="shared" si="9"/>
        <v>6526</v>
      </c>
    </row>
    <row r="26" spans="1:24" s="138" customFormat="1" ht="13.5" customHeight="1" x14ac:dyDescent="0.2">
      <c r="A26" s="139">
        <v>5</v>
      </c>
      <c r="B26" s="22" t="str">
        <f t="shared" ref="B26:B31" si="13">+B11</f>
        <v>Briones, Christain Joy</v>
      </c>
      <c r="C26" s="248" t="str">
        <f t="shared" ref="C26:C31" si="14">C11</f>
        <v>Asst. Cook</v>
      </c>
      <c r="D26" s="141">
        <f t="shared" si="8"/>
        <v>6526</v>
      </c>
      <c r="E26" s="15"/>
      <c r="F26" s="21">
        <f t="shared" si="10"/>
        <v>0</v>
      </c>
      <c r="G26" s="15"/>
      <c r="H26" s="21">
        <f t="shared" si="11"/>
        <v>0</v>
      </c>
      <c r="I26" s="122"/>
      <c r="J26" s="15">
        <f>'[1]summary of contribution'!$J$22</f>
        <v>472.3</v>
      </c>
      <c r="K26" s="15">
        <v>969.04</v>
      </c>
      <c r="L26" s="15">
        <v>150</v>
      </c>
      <c r="M26" s="15"/>
      <c r="N26" s="15"/>
      <c r="O26" s="15">
        <f>+'[1]summary of contribution'!$Q$22</f>
        <v>0</v>
      </c>
      <c r="P26" s="158">
        <f t="shared" si="12"/>
        <v>4934.66</v>
      </c>
      <c r="R26" s="71">
        <f t="shared" si="9"/>
        <v>6526</v>
      </c>
    </row>
    <row r="27" spans="1:24" s="138" customFormat="1" ht="12" customHeight="1" x14ac:dyDescent="0.2">
      <c r="A27" s="139">
        <v>6</v>
      </c>
      <c r="B27" s="22">
        <f t="shared" si="13"/>
        <v>0</v>
      </c>
      <c r="C27" s="248">
        <f t="shared" si="14"/>
        <v>0</v>
      </c>
      <c r="D27" s="141">
        <f t="shared" si="8"/>
        <v>0</v>
      </c>
      <c r="E27" s="15"/>
      <c r="F27" s="21">
        <f t="shared" si="10"/>
        <v>0</v>
      </c>
      <c r="G27" s="15"/>
      <c r="H27" s="21">
        <f t="shared" si="11"/>
        <v>0</v>
      </c>
      <c r="I27" s="122"/>
      <c r="J27" s="15">
        <f>'[1]summary of contribution'!$J$23</f>
        <v>0</v>
      </c>
      <c r="K27" s="15"/>
      <c r="L27" s="15">
        <f>'[1]summary of contribution'!$M$23</f>
        <v>0</v>
      </c>
      <c r="M27" s="15"/>
      <c r="N27" s="15"/>
      <c r="O27" s="15">
        <f>+'[1]summary of contribution'!$Q$23</f>
        <v>0</v>
      </c>
      <c r="P27" s="158">
        <f t="shared" si="12"/>
        <v>0</v>
      </c>
      <c r="R27" s="71">
        <f t="shared" si="9"/>
        <v>0</v>
      </c>
    </row>
    <row r="28" spans="1:24" s="138" customFormat="1" ht="12" customHeight="1" x14ac:dyDescent="0.2">
      <c r="A28" s="139">
        <v>7</v>
      </c>
      <c r="B28" s="22">
        <f t="shared" si="13"/>
        <v>0</v>
      </c>
      <c r="C28" s="248">
        <f t="shared" si="14"/>
        <v>0</v>
      </c>
      <c r="D28" s="141">
        <f t="shared" si="8"/>
        <v>0</v>
      </c>
      <c r="E28" s="15"/>
      <c r="F28" s="21">
        <f t="shared" si="10"/>
        <v>0</v>
      </c>
      <c r="G28" s="15"/>
      <c r="H28" s="21">
        <f t="shared" si="11"/>
        <v>0</v>
      </c>
      <c r="I28" s="122"/>
      <c r="J28" s="15">
        <f>'[1]summary of contribution'!$J$24</f>
        <v>0</v>
      </c>
      <c r="K28" s="15"/>
      <c r="L28" s="15">
        <f>'[1]summary of contribution'!$M$24</f>
        <v>0</v>
      </c>
      <c r="M28" s="15"/>
      <c r="N28" s="15"/>
      <c r="O28" s="15">
        <f>+'[1]summary of contribution'!$Q$24</f>
        <v>0</v>
      </c>
      <c r="P28" s="158">
        <f t="shared" si="12"/>
        <v>0</v>
      </c>
      <c r="R28" s="71">
        <f t="shared" si="9"/>
        <v>0</v>
      </c>
    </row>
    <row r="29" spans="1:24" s="138" customFormat="1" ht="12" customHeight="1" x14ac:dyDescent="0.2">
      <c r="A29" s="139">
        <v>8</v>
      </c>
      <c r="B29" s="22">
        <f t="shared" si="13"/>
        <v>0</v>
      </c>
      <c r="C29" s="248">
        <f t="shared" si="14"/>
        <v>0</v>
      </c>
      <c r="D29" s="141">
        <f t="shared" si="8"/>
        <v>0</v>
      </c>
      <c r="E29" s="15"/>
      <c r="F29" s="21">
        <f t="shared" si="10"/>
        <v>0</v>
      </c>
      <c r="G29" s="159"/>
      <c r="H29" s="21">
        <f t="shared" si="11"/>
        <v>0</v>
      </c>
      <c r="I29" s="122"/>
      <c r="J29" s="15">
        <f>'[1]summary of contribution'!$J$25</f>
        <v>0</v>
      </c>
      <c r="K29" s="15"/>
      <c r="L29" s="15">
        <f>'[1]summary of contribution'!$M$25</f>
        <v>0</v>
      </c>
      <c r="M29" s="15"/>
      <c r="N29" s="15"/>
      <c r="O29" s="15">
        <f>+'[1]summary of contribution'!$Q$25</f>
        <v>0</v>
      </c>
      <c r="P29" s="158">
        <f t="shared" si="12"/>
        <v>0</v>
      </c>
      <c r="R29" s="71">
        <f t="shared" si="9"/>
        <v>0</v>
      </c>
    </row>
    <row r="30" spans="1:24" s="138" customFormat="1" ht="12" customHeight="1" x14ac:dyDescent="0.2">
      <c r="A30" s="139">
        <v>9</v>
      </c>
      <c r="B30" s="22">
        <f t="shared" si="13"/>
        <v>0</v>
      </c>
      <c r="C30" s="248">
        <f t="shared" si="14"/>
        <v>0</v>
      </c>
      <c r="D30" s="141">
        <f t="shared" si="8"/>
        <v>0</v>
      </c>
      <c r="E30" s="15"/>
      <c r="F30" s="21">
        <f t="shared" si="10"/>
        <v>0</v>
      </c>
      <c r="G30" s="159"/>
      <c r="H30" s="21">
        <f t="shared" si="11"/>
        <v>0</v>
      </c>
      <c r="I30" s="122"/>
      <c r="J30" s="15">
        <f>'[1]summary of contribution'!$J$26</f>
        <v>0</v>
      </c>
      <c r="K30" s="15"/>
      <c r="L30" s="15">
        <f>'[1]summary of contribution'!$M$26</f>
        <v>0</v>
      </c>
      <c r="M30" s="15"/>
      <c r="N30" s="15"/>
      <c r="O30" s="15">
        <f>+'[1]summary of contribution'!$Q$26</f>
        <v>0</v>
      </c>
      <c r="P30" s="158">
        <f t="shared" si="12"/>
        <v>0</v>
      </c>
      <c r="R30" s="71">
        <f t="shared" si="9"/>
        <v>0</v>
      </c>
    </row>
    <row r="31" spans="1:24" s="138" customFormat="1" ht="12" customHeight="1" x14ac:dyDescent="0.2">
      <c r="A31" s="139">
        <v>10</v>
      </c>
      <c r="B31" s="22">
        <f t="shared" si="13"/>
        <v>0</v>
      </c>
      <c r="C31" s="248">
        <f t="shared" si="14"/>
        <v>0</v>
      </c>
      <c r="D31" s="141">
        <f t="shared" si="8"/>
        <v>0</v>
      </c>
      <c r="E31" s="15"/>
      <c r="F31" s="21">
        <f t="shared" si="10"/>
        <v>0</v>
      </c>
      <c r="G31" s="159"/>
      <c r="H31" s="21">
        <f t="shared" si="11"/>
        <v>0</v>
      </c>
      <c r="I31" s="122"/>
      <c r="J31" s="15">
        <f>'[1]summary of contribution'!$J$27</f>
        <v>0</v>
      </c>
      <c r="K31" s="15"/>
      <c r="L31" s="15">
        <f>'[1]summary of contribution'!$M$27</f>
        <v>0</v>
      </c>
      <c r="M31" s="15"/>
      <c r="N31" s="15"/>
      <c r="O31" s="15">
        <f>+'[1]summary of contribution'!$Q$27</f>
        <v>0</v>
      </c>
      <c r="P31" s="158">
        <f t="shared" si="12"/>
        <v>0</v>
      </c>
      <c r="R31" s="71">
        <f t="shared" si="9"/>
        <v>0</v>
      </c>
    </row>
    <row r="32" spans="1:24" s="138" customFormat="1" ht="12" customHeight="1" x14ac:dyDescent="0.2">
      <c r="A32" s="160"/>
      <c r="B32" s="143"/>
      <c r="C32" s="144"/>
      <c r="D32" s="141"/>
      <c r="E32" s="15"/>
      <c r="F32" s="21"/>
      <c r="G32" s="144"/>
      <c r="H32" s="21"/>
      <c r="I32" s="15"/>
      <c r="J32" s="15"/>
      <c r="K32" s="15"/>
      <c r="L32" s="15"/>
      <c r="M32" s="15"/>
      <c r="N32" s="15"/>
      <c r="O32" s="15"/>
      <c r="P32" s="158"/>
      <c r="R32" s="16"/>
    </row>
    <row r="33" spans="1:20" s="162" customFormat="1" ht="12" customHeight="1" thickBot="1" x14ac:dyDescent="0.25">
      <c r="A33" s="161"/>
      <c r="B33" s="147"/>
      <c r="C33" s="148"/>
      <c r="D33" s="3">
        <f>SUM(D22:D32)</f>
        <v>36427</v>
      </c>
      <c r="E33" s="4">
        <f>+SUM(E22:E32)</f>
        <v>0</v>
      </c>
      <c r="F33" s="3">
        <f>SUM(F22:F32)</f>
        <v>0</v>
      </c>
      <c r="G33" s="4"/>
      <c r="H33" s="3">
        <f>SUM(H22:H32)</f>
        <v>0</v>
      </c>
      <c r="I33" s="3">
        <f>+SUM(I22:I32)</f>
        <v>0</v>
      </c>
      <c r="J33" s="3">
        <f t="shared" ref="J33:O33" si="15">+SUM(J22:J32)</f>
        <v>2488.7000000000003</v>
      </c>
      <c r="K33" s="3">
        <f t="shared" si="15"/>
        <v>3145.45</v>
      </c>
      <c r="L33" s="3">
        <f>+SUM(L22:L32)</f>
        <v>800</v>
      </c>
      <c r="M33" s="3">
        <f t="shared" si="15"/>
        <v>0</v>
      </c>
      <c r="N33" s="3">
        <f t="shared" si="15"/>
        <v>1027.99</v>
      </c>
      <c r="O33" s="3">
        <f t="shared" si="15"/>
        <v>0</v>
      </c>
      <c r="P33" s="5">
        <f>+SUM(P22:P32)</f>
        <v>28964.86</v>
      </c>
      <c r="R33" s="51"/>
      <c r="S33" s="249" t="s">
        <v>102</v>
      </c>
      <c r="T33" s="163"/>
    </row>
    <row r="34" spans="1:20" x14ac:dyDescent="0.2">
      <c r="K34" s="165"/>
      <c r="O34" s="19" t="s">
        <v>114</v>
      </c>
      <c r="P34" s="19" t="s">
        <v>115</v>
      </c>
      <c r="Q34" s="19" t="s">
        <v>116</v>
      </c>
      <c r="R34" s="164"/>
      <c r="S34" s="168"/>
    </row>
    <row r="35" spans="1:20" x14ac:dyDescent="0.2">
      <c r="A35" s="126" t="s">
        <v>8</v>
      </c>
      <c r="D35" s="126" t="s">
        <v>9</v>
      </c>
      <c r="H35" s="126" t="s">
        <v>10</v>
      </c>
      <c r="M35" s="16" t="str">
        <f t="shared" ref="M35:M44" si="16">B22</f>
        <v>Biarcal, Ronald Glenn</v>
      </c>
      <c r="N35" s="165"/>
      <c r="O35" s="16">
        <f>300/2</f>
        <v>150</v>
      </c>
      <c r="P35" s="16">
        <f>((1768/2)/13)*(13-E22)</f>
        <v>884</v>
      </c>
      <c r="Q35" s="16">
        <v>0</v>
      </c>
      <c r="S35" s="166">
        <f t="shared" ref="S35:S44" si="17">+P22+(SUM(O35:Q35))</f>
        <v>5658.67</v>
      </c>
    </row>
    <row r="36" spans="1:20" x14ac:dyDescent="0.2">
      <c r="M36" s="16" t="str">
        <f t="shared" si="16"/>
        <v>Sanchez, Angelo</v>
      </c>
      <c r="N36" s="165"/>
      <c r="O36" s="16">
        <v>0</v>
      </c>
      <c r="P36" s="16">
        <f>((1000/2)/13)*(13-E23)</f>
        <v>500</v>
      </c>
      <c r="Q36" s="16">
        <v>0</v>
      </c>
      <c r="S36" s="166">
        <f t="shared" si="17"/>
        <v>6403.7</v>
      </c>
    </row>
    <row r="37" spans="1:20" x14ac:dyDescent="0.2">
      <c r="A37" s="165" t="str">
        <f>B25</f>
        <v xml:space="preserve">Sosa, Anna Marie </v>
      </c>
      <c r="D37" s="165" t="str">
        <f>B24</f>
        <v>Dino, Joyce</v>
      </c>
      <c r="H37" s="126" t="s">
        <v>100</v>
      </c>
      <c r="M37" s="16" t="str">
        <f t="shared" si="16"/>
        <v>Dino, Joyce</v>
      </c>
      <c r="N37" s="165"/>
      <c r="O37" s="16">
        <f>500/2</f>
        <v>250</v>
      </c>
      <c r="P37" s="16">
        <f>((2000/2)/13)*(13-E24)</f>
        <v>1000</v>
      </c>
      <c r="Q37" s="16">
        <v>0</v>
      </c>
      <c r="S37" s="166">
        <f t="shared" si="17"/>
        <v>9315.0600000000013</v>
      </c>
    </row>
    <row r="38" spans="1:20" x14ac:dyDescent="0.2">
      <c r="A38" s="167" t="s">
        <v>104</v>
      </c>
      <c r="B38" s="167"/>
      <c r="C38" s="167"/>
      <c r="D38" s="167" t="s">
        <v>107</v>
      </c>
      <c r="E38" s="167"/>
      <c r="F38" s="167"/>
      <c r="G38" s="167"/>
      <c r="H38" s="167" t="s">
        <v>101</v>
      </c>
      <c r="I38" s="167"/>
      <c r="M38" s="16" t="str">
        <f t="shared" si="16"/>
        <v xml:space="preserve">Sosa, Anna Marie </v>
      </c>
      <c r="N38" s="165"/>
      <c r="O38" s="16">
        <f>300/2</f>
        <v>150</v>
      </c>
      <c r="P38" s="16">
        <f>((1768/2)/13)*(13-E25)</f>
        <v>884</v>
      </c>
      <c r="Q38" s="16">
        <v>0</v>
      </c>
      <c r="S38" s="166">
        <f t="shared" si="17"/>
        <v>6470.77</v>
      </c>
    </row>
    <row r="39" spans="1:20" x14ac:dyDescent="0.2">
      <c r="M39" s="16" t="str">
        <f t="shared" si="16"/>
        <v>Briones, Christain Joy</v>
      </c>
      <c r="O39" s="16">
        <v>0</v>
      </c>
      <c r="P39" s="16">
        <f>((3000/2)/13)*(13-E26)</f>
        <v>1500</v>
      </c>
      <c r="Q39" s="16">
        <v>0</v>
      </c>
      <c r="S39" s="166">
        <f t="shared" si="17"/>
        <v>6434.66</v>
      </c>
    </row>
    <row r="40" spans="1:20" x14ac:dyDescent="0.2">
      <c r="M40" s="16">
        <f t="shared" si="16"/>
        <v>0</v>
      </c>
      <c r="O40" s="16">
        <v>0</v>
      </c>
      <c r="P40" s="16">
        <v>0</v>
      </c>
      <c r="Q40" s="16">
        <v>0</v>
      </c>
      <c r="S40" s="166">
        <f t="shared" si="17"/>
        <v>0</v>
      </c>
    </row>
    <row r="41" spans="1:20" x14ac:dyDescent="0.2">
      <c r="M41" s="16">
        <f t="shared" si="16"/>
        <v>0</v>
      </c>
      <c r="O41" s="16">
        <v>0</v>
      </c>
      <c r="P41" s="16">
        <v>0</v>
      </c>
      <c r="Q41" s="16">
        <v>0</v>
      </c>
      <c r="S41" s="166">
        <f t="shared" si="17"/>
        <v>0</v>
      </c>
    </row>
    <row r="42" spans="1:20" x14ac:dyDescent="0.2">
      <c r="M42" s="16">
        <f t="shared" si="16"/>
        <v>0</v>
      </c>
      <c r="O42" s="16">
        <v>0</v>
      </c>
      <c r="P42" s="16">
        <v>0</v>
      </c>
      <c r="Q42" s="16">
        <v>0</v>
      </c>
      <c r="S42" s="166">
        <f t="shared" si="17"/>
        <v>0</v>
      </c>
    </row>
    <row r="43" spans="1:20" x14ac:dyDescent="0.2">
      <c r="M43" s="16">
        <f t="shared" si="16"/>
        <v>0</v>
      </c>
      <c r="O43" s="16">
        <v>0</v>
      </c>
      <c r="P43" s="16">
        <v>0</v>
      </c>
      <c r="Q43" s="16">
        <v>0</v>
      </c>
      <c r="S43" s="166">
        <f t="shared" si="17"/>
        <v>0</v>
      </c>
    </row>
    <row r="44" spans="1:20" x14ac:dyDescent="0.2">
      <c r="M44" s="16">
        <f t="shared" si="16"/>
        <v>0</v>
      </c>
      <c r="O44" s="16">
        <v>0</v>
      </c>
      <c r="P44" s="16">
        <v>0</v>
      </c>
      <c r="Q44" s="16">
        <v>0</v>
      </c>
      <c r="S44" s="166">
        <f t="shared" si="17"/>
        <v>0</v>
      </c>
    </row>
    <row r="46" spans="1:20" x14ac:dyDescent="0.2">
      <c r="P46" s="169">
        <f>+P33+(SUM(O35:Q44))</f>
        <v>34282.86</v>
      </c>
    </row>
    <row r="53" spans="1:15" ht="13.5" thickBot="1" x14ac:dyDescent="0.25"/>
    <row r="54" spans="1:15" ht="13.5" customHeight="1" thickBot="1" x14ac:dyDescent="0.25">
      <c r="A54" s="389"/>
      <c r="B54" s="391" t="s">
        <v>0</v>
      </c>
      <c r="C54" s="393" t="s">
        <v>1</v>
      </c>
      <c r="D54" s="395" t="s">
        <v>3</v>
      </c>
      <c r="E54" s="395" t="s">
        <v>45</v>
      </c>
      <c r="F54" s="430" t="s">
        <v>151</v>
      </c>
      <c r="G54" s="427" t="s">
        <v>112</v>
      </c>
      <c r="H54" s="428"/>
      <c r="I54" s="413"/>
      <c r="J54" s="415" t="s">
        <v>3</v>
      </c>
      <c r="K54" s="429" t="s">
        <v>114</v>
      </c>
      <c r="L54" s="425" t="s">
        <v>115</v>
      </c>
      <c r="M54" s="425" t="s">
        <v>116</v>
      </c>
      <c r="O54" s="424" t="s">
        <v>102</v>
      </c>
    </row>
    <row r="55" spans="1:15" ht="13.5" thickBot="1" x14ac:dyDescent="0.25">
      <c r="A55" s="390"/>
      <c r="B55" s="392"/>
      <c r="C55" s="394"/>
      <c r="D55" s="396"/>
      <c r="E55" s="432"/>
      <c r="F55" s="431"/>
      <c r="G55" s="245" t="s">
        <v>113</v>
      </c>
      <c r="H55" s="246" t="s">
        <v>148</v>
      </c>
      <c r="I55" s="414"/>
      <c r="J55" s="416"/>
      <c r="K55" s="429"/>
      <c r="L55" s="425"/>
      <c r="M55" s="425"/>
      <c r="O55" s="424"/>
    </row>
    <row r="56" spans="1:15" x14ac:dyDescent="0.2">
      <c r="A56" s="153">
        <v>1</v>
      </c>
      <c r="B56" s="49" t="str">
        <f t="shared" ref="B56:C65" si="18">B22</f>
        <v>Biarcal, Ronald Glenn</v>
      </c>
      <c r="C56" s="49" t="str">
        <f t="shared" si="18"/>
        <v>M.T.Purchaser</v>
      </c>
      <c r="D56" s="49">
        <f>+P22</f>
        <v>4624.67</v>
      </c>
      <c r="E56" s="49"/>
      <c r="F56" s="157"/>
      <c r="G56" s="236"/>
      <c r="H56" s="236">
        <f>2775/2</f>
        <v>1387.5</v>
      </c>
      <c r="I56" s="157"/>
      <c r="J56" s="158">
        <f t="shared" ref="J56:J65" si="19">+D22-F22-H22-E56-J22-K22-L22-M22-N22-O22-F56-I56-G56-H56-I22</f>
        <v>3237.17</v>
      </c>
      <c r="K56" s="273">
        <f t="shared" ref="K56:M60" si="20">+O35</f>
        <v>150</v>
      </c>
      <c r="L56" s="273">
        <f t="shared" si="20"/>
        <v>884</v>
      </c>
      <c r="M56" s="273">
        <f t="shared" si="20"/>
        <v>0</v>
      </c>
      <c r="O56" s="165">
        <f t="shared" ref="O56:O61" si="21">+J56+K56+L56</f>
        <v>4271.17</v>
      </c>
    </row>
    <row r="57" spans="1:15" x14ac:dyDescent="0.2">
      <c r="A57" s="139">
        <v>2</v>
      </c>
      <c r="B57" s="22" t="str">
        <f t="shared" si="18"/>
        <v>Sanchez, Angelo</v>
      </c>
      <c r="C57" s="248" t="str">
        <f t="shared" si="18"/>
        <v>Head Cook</v>
      </c>
      <c r="D57" s="248">
        <f t="shared" ref="D57:D65" si="22">+P23</f>
        <v>5903.7</v>
      </c>
      <c r="E57" s="22"/>
      <c r="F57" s="122"/>
      <c r="G57" s="122"/>
      <c r="H57" s="122"/>
      <c r="I57" s="122"/>
      <c r="J57" s="158">
        <f t="shared" si="19"/>
        <v>5903.7</v>
      </c>
      <c r="K57" s="273">
        <f t="shared" si="20"/>
        <v>0</v>
      </c>
      <c r="L57" s="273">
        <f t="shared" si="20"/>
        <v>500</v>
      </c>
      <c r="M57" s="273">
        <f t="shared" si="20"/>
        <v>0</v>
      </c>
      <c r="O57" s="165">
        <f t="shared" si="21"/>
        <v>6403.7</v>
      </c>
    </row>
    <row r="58" spans="1:15" x14ac:dyDescent="0.2">
      <c r="A58" s="139">
        <v>3</v>
      </c>
      <c r="B58" s="22" t="str">
        <f t="shared" si="18"/>
        <v>Dino, Joyce</v>
      </c>
      <c r="C58" s="248" t="str">
        <f t="shared" si="18"/>
        <v>Store Manager</v>
      </c>
      <c r="D58" s="248">
        <f t="shared" si="22"/>
        <v>8065.0600000000013</v>
      </c>
      <c r="E58" s="22"/>
      <c r="F58" s="122"/>
      <c r="G58" s="18"/>
      <c r="H58" s="18">
        <f>3202.78/2</f>
        <v>1601.39</v>
      </c>
      <c r="I58" s="122"/>
      <c r="J58" s="158">
        <f t="shared" si="19"/>
        <v>6463.670000000001</v>
      </c>
      <c r="K58" s="273">
        <f t="shared" si="20"/>
        <v>250</v>
      </c>
      <c r="L58" s="273">
        <f t="shared" si="20"/>
        <v>1000</v>
      </c>
      <c r="M58" s="273">
        <f t="shared" si="20"/>
        <v>0</v>
      </c>
      <c r="O58" s="165">
        <f t="shared" si="21"/>
        <v>7713.670000000001</v>
      </c>
    </row>
    <row r="59" spans="1:15" x14ac:dyDescent="0.2">
      <c r="A59" s="139">
        <v>4</v>
      </c>
      <c r="B59" s="22" t="str">
        <f t="shared" si="18"/>
        <v xml:space="preserve">Sosa, Anna Marie </v>
      </c>
      <c r="C59" s="248" t="str">
        <f t="shared" si="18"/>
        <v>M.T.Bookkeeper</v>
      </c>
      <c r="D59" s="248">
        <f t="shared" si="22"/>
        <v>5436.77</v>
      </c>
      <c r="E59" s="22"/>
      <c r="F59" s="122"/>
      <c r="G59" s="122"/>
      <c r="H59" s="122">
        <f>3074.67/2</f>
        <v>1537.335</v>
      </c>
      <c r="I59" s="122"/>
      <c r="J59" s="158">
        <f t="shared" si="19"/>
        <v>3899.4350000000004</v>
      </c>
      <c r="K59" s="273">
        <f t="shared" si="20"/>
        <v>150</v>
      </c>
      <c r="L59" s="273">
        <f t="shared" si="20"/>
        <v>884</v>
      </c>
      <c r="M59" s="273">
        <f t="shared" si="20"/>
        <v>0</v>
      </c>
      <c r="O59" s="165">
        <f t="shared" si="21"/>
        <v>4933.4350000000004</v>
      </c>
    </row>
    <row r="60" spans="1:15" x14ac:dyDescent="0.2">
      <c r="A60" s="139">
        <v>5</v>
      </c>
      <c r="B60" s="22" t="str">
        <f t="shared" si="18"/>
        <v>Briones, Christain Joy</v>
      </c>
      <c r="C60" s="248" t="str">
        <f t="shared" si="18"/>
        <v>Asst. Cook</v>
      </c>
      <c r="D60" s="248">
        <f t="shared" si="22"/>
        <v>4934.66</v>
      </c>
      <c r="E60" s="22"/>
      <c r="F60" s="122"/>
      <c r="G60" s="122"/>
      <c r="H60" s="122"/>
      <c r="I60" s="122"/>
      <c r="J60" s="158">
        <f t="shared" si="19"/>
        <v>4934.66</v>
      </c>
      <c r="K60" s="273">
        <f t="shared" si="20"/>
        <v>0</v>
      </c>
      <c r="L60" s="273">
        <f t="shared" si="20"/>
        <v>1500</v>
      </c>
      <c r="M60" s="273">
        <f t="shared" si="20"/>
        <v>0</v>
      </c>
      <c r="O60" s="165">
        <f t="shared" si="21"/>
        <v>6434.66</v>
      </c>
    </row>
    <row r="61" spans="1:15" x14ac:dyDescent="0.2">
      <c r="A61" s="139">
        <v>6</v>
      </c>
      <c r="B61" s="22">
        <f t="shared" si="18"/>
        <v>0</v>
      </c>
      <c r="C61" s="248">
        <f t="shared" si="18"/>
        <v>0</v>
      </c>
      <c r="D61" s="248">
        <f t="shared" si="22"/>
        <v>0</v>
      </c>
      <c r="E61" s="22"/>
      <c r="F61" s="122"/>
      <c r="G61" s="122"/>
      <c r="H61" s="122"/>
      <c r="I61" s="122"/>
      <c r="J61" s="158">
        <f t="shared" si="19"/>
        <v>0</v>
      </c>
      <c r="O61" s="165">
        <f t="shared" si="21"/>
        <v>0</v>
      </c>
    </row>
    <row r="62" spans="1:15" x14ac:dyDescent="0.2">
      <c r="A62" s="139">
        <v>7</v>
      </c>
      <c r="B62" s="22">
        <f t="shared" si="18"/>
        <v>0</v>
      </c>
      <c r="C62" s="248">
        <f t="shared" si="18"/>
        <v>0</v>
      </c>
      <c r="D62" s="248">
        <f t="shared" si="22"/>
        <v>0</v>
      </c>
      <c r="E62" s="22"/>
      <c r="F62" s="122"/>
      <c r="G62" s="122"/>
      <c r="H62" s="122"/>
      <c r="I62" s="122"/>
      <c r="J62" s="158">
        <f t="shared" si="19"/>
        <v>0</v>
      </c>
    </row>
    <row r="63" spans="1:15" x14ac:dyDescent="0.2">
      <c r="A63" s="139">
        <v>8</v>
      </c>
      <c r="B63" s="22">
        <f t="shared" si="18"/>
        <v>0</v>
      </c>
      <c r="C63" s="248">
        <f t="shared" si="18"/>
        <v>0</v>
      </c>
      <c r="D63" s="248">
        <f t="shared" si="22"/>
        <v>0</v>
      </c>
      <c r="E63" s="22"/>
      <c r="F63" s="122"/>
      <c r="G63" s="122"/>
      <c r="H63" s="122"/>
      <c r="I63" s="122"/>
      <c r="J63" s="158">
        <f t="shared" si="19"/>
        <v>0</v>
      </c>
    </row>
    <row r="64" spans="1:15" x14ac:dyDescent="0.2">
      <c r="A64" s="139">
        <v>9</v>
      </c>
      <c r="B64" s="22">
        <f t="shared" si="18"/>
        <v>0</v>
      </c>
      <c r="C64" s="248">
        <f t="shared" si="18"/>
        <v>0</v>
      </c>
      <c r="D64" s="248">
        <f t="shared" si="22"/>
        <v>0</v>
      </c>
      <c r="E64" s="22"/>
      <c r="F64" s="122"/>
      <c r="G64" s="122"/>
      <c r="H64" s="122"/>
      <c r="I64" s="15">
        <v>0</v>
      </c>
      <c r="J64" s="158">
        <f t="shared" si="19"/>
        <v>0</v>
      </c>
    </row>
    <row r="65" spans="1:16" x14ac:dyDescent="0.2">
      <c r="A65" s="139">
        <v>10</v>
      </c>
      <c r="B65" s="22">
        <f t="shared" si="18"/>
        <v>0</v>
      </c>
      <c r="C65" s="248">
        <f t="shared" si="18"/>
        <v>0</v>
      </c>
      <c r="D65" s="248">
        <f t="shared" si="22"/>
        <v>0</v>
      </c>
      <c r="E65" s="22"/>
      <c r="F65" s="122"/>
      <c r="G65" s="122"/>
      <c r="H65" s="122"/>
      <c r="I65" s="15">
        <v>0</v>
      </c>
      <c r="J65" s="158">
        <f t="shared" si="19"/>
        <v>0</v>
      </c>
    </row>
    <row r="66" spans="1:16" x14ac:dyDescent="0.2">
      <c r="A66" s="160"/>
      <c r="B66" s="143"/>
      <c r="C66" s="144"/>
      <c r="D66" s="144"/>
      <c r="E66" s="22"/>
      <c r="F66" s="15"/>
      <c r="G66" s="15"/>
      <c r="H66" s="15"/>
      <c r="I66" s="15"/>
      <c r="J66" s="158"/>
    </row>
    <row r="67" spans="1:16" ht="13.5" thickBot="1" x14ac:dyDescent="0.25">
      <c r="A67" s="161"/>
      <c r="B67" s="147"/>
      <c r="C67" s="148"/>
      <c r="D67" s="275">
        <f>SUM(D56:D66)</f>
        <v>28964.86</v>
      </c>
      <c r="E67" s="3">
        <f>SUM(E56:E66)</f>
        <v>0</v>
      </c>
      <c r="F67" s="3">
        <f>+SUM(F56:F66)</f>
        <v>0</v>
      </c>
      <c r="G67" s="3">
        <f>+SUM(G56:G66)</f>
        <v>0</v>
      </c>
      <c r="H67" s="3">
        <f>+SUM(H56:H66)</f>
        <v>4526.2250000000004</v>
      </c>
      <c r="I67" s="3">
        <f>+SUM(I56:I66)</f>
        <v>0</v>
      </c>
      <c r="J67" s="5">
        <f>+SUM(J56:J66)</f>
        <v>24438.635000000002</v>
      </c>
      <c r="O67" s="274">
        <f>SUM(O56:O66)</f>
        <v>29756.635000000002</v>
      </c>
      <c r="P67" s="165"/>
    </row>
  </sheetData>
  <sheetProtection formatCells="0" formatColumns="0" formatRows="0" insertColumns="0" insertRows="0" insertHyperlinks="0" deleteColumns="0" deleteRows="0" sort="0" autoFilter="0" pivotTables="0"/>
  <protectedRanges>
    <protectedRange password="A316" sqref="R21:R32 P45:P46 M35:M45 S35:S44" name="Range1"/>
    <protectedRange password="A316" sqref="M22:M27 N24" name="n. hdmf_1"/>
    <protectedRange password="A316" sqref="L22:L31" name="m. phic_1"/>
    <protectedRange password="A316" sqref="J22:J31" name="l. sss_1"/>
    <protectedRange password="A316" sqref="W7:W10 W12:W15" name="g. adjustmetn_1"/>
    <protectedRange password="A316" sqref="W11" name="g. adjustmetn_2"/>
  </protectedRanges>
  <mergeCells count="49">
    <mergeCell ref="A5:A6"/>
    <mergeCell ref="B5:B6"/>
    <mergeCell ref="D54:D55"/>
    <mergeCell ref="O54:O55"/>
    <mergeCell ref="A54:A55"/>
    <mergeCell ref="B54:B55"/>
    <mergeCell ref="C54:C55"/>
    <mergeCell ref="E54:E55"/>
    <mergeCell ref="F54:F55"/>
    <mergeCell ref="G54:H54"/>
    <mergeCell ref="I54:I55"/>
    <mergeCell ref="J54:J55"/>
    <mergeCell ref="K54:K55"/>
    <mergeCell ref="L54:L55"/>
    <mergeCell ref="M54:M55"/>
    <mergeCell ref="C5:C6"/>
    <mergeCell ref="D5:D6"/>
    <mergeCell ref="E5:E6"/>
    <mergeCell ref="I5:I6"/>
    <mergeCell ref="W5:W6"/>
    <mergeCell ref="G5:G6"/>
    <mergeCell ref="H5:H6"/>
    <mergeCell ref="J5:L5"/>
    <mergeCell ref="M5:O5"/>
    <mergeCell ref="P5:P6"/>
    <mergeCell ref="R5:R6"/>
    <mergeCell ref="S5:S6"/>
    <mergeCell ref="F5:F6"/>
    <mergeCell ref="K20:K21"/>
    <mergeCell ref="L20:L21"/>
    <mergeCell ref="P20:P21"/>
    <mergeCell ref="T5:T6"/>
    <mergeCell ref="Q5:Q6"/>
    <mergeCell ref="X5:X6"/>
    <mergeCell ref="A20:A21"/>
    <mergeCell ref="B20:B21"/>
    <mergeCell ref="C20:C21"/>
    <mergeCell ref="D20:D21"/>
    <mergeCell ref="E20:E21"/>
    <mergeCell ref="H20:H21"/>
    <mergeCell ref="U5:U6"/>
    <mergeCell ref="V5:V6"/>
    <mergeCell ref="F20:F21"/>
    <mergeCell ref="G20:G21"/>
    <mergeCell ref="O20:O21"/>
    <mergeCell ref="M20:M21"/>
    <mergeCell ref="N20:N21"/>
    <mergeCell ref="I20:I21"/>
    <mergeCell ref="J20:J21"/>
  </mergeCells>
  <printOptions horizontalCentered="1"/>
  <pageMargins left="0.25" right="0.2" top="0.52" bottom="0.37" header="0.5" footer="0.5"/>
  <pageSetup paperSize="5" scale="65" orientation="landscape" horizontalDpi="4294967293" verticalDpi="300" r:id="rId1"/>
  <headerFooter alignWithMargins="0"/>
  <rowBreaks count="1" manualBreakCount="1">
    <brk id="50" max="24" man="1"/>
  </rowBreaks>
  <colBreaks count="1" manualBreakCount="1">
    <brk id="25" max="47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00FF00"/>
  </sheetPr>
  <dimension ref="A1:V165"/>
  <sheetViews>
    <sheetView topLeftCell="A7" workbookViewId="0">
      <selection activeCell="AB26" sqref="AB26"/>
    </sheetView>
  </sheetViews>
  <sheetFormatPr defaultColWidth="9.140625" defaultRowHeight="12.75" x14ac:dyDescent="0.2"/>
  <cols>
    <col min="1" max="1" width="3" style="170" customWidth="1"/>
    <col min="2" max="2" width="12.28515625" style="172" customWidth="1"/>
    <col min="3" max="3" width="3.42578125" style="227" customWidth="1"/>
    <col min="4" max="4" width="9.7109375" style="227" customWidth="1"/>
    <col min="5" max="5" width="13.7109375" style="227" customWidth="1"/>
    <col min="6" max="6" width="10.140625" style="53" customWidth="1"/>
    <col min="7" max="7" width="3" style="53" hidden="1" customWidth="1"/>
    <col min="8" max="8" width="10.28515625" style="227" customWidth="1"/>
    <col min="9" max="9" width="2.42578125" style="170" customWidth="1"/>
    <col min="10" max="10" width="12.28515625" style="7" customWidth="1"/>
    <col min="11" max="11" width="3.42578125" style="170" customWidth="1"/>
    <col min="12" max="12" width="9.7109375" style="170" customWidth="1"/>
    <col min="13" max="13" width="13.7109375" style="170" customWidth="1"/>
    <col min="14" max="14" width="10.42578125" style="174" customWidth="1"/>
    <col min="15" max="15" width="3" style="174" hidden="1" customWidth="1"/>
    <col min="16" max="16" width="10.28515625" style="170" customWidth="1"/>
    <col min="17" max="17" width="3.42578125" style="170" customWidth="1"/>
    <col min="18" max="18" width="10.85546875" style="170" bestFit="1" customWidth="1"/>
    <col min="19" max="19" width="9.140625" style="170"/>
    <col min="20" max="20" width="12" style="175" bestFit="1" customWidth="1"/>
    <col min="21" max="21" width="9.140625" style="176"/>
    <col min="22" max="22" width="10.42578125" style="177" bestFit="1" customWidth="1"/>
    <col min="23" max="16384" width="9.140625" style="170"/>
  </cols>
  <sheetData>
    <row r="1" spans="1:22" ht="18.75" customHeight="1" thickBot="1" x14ac:dyDescent="0.25">
      <c r="B1" s="171">
        <v>1</v>
      </c>
      <c r="C1" s="172"/>
      <c r="D1" s="172"/>
      <c r="E1" s="172"/>
      <c r="F1" s="172"/>
      <c r="G1" s="172"/>
      <c r="H1" s="172"/>
      <c r="J1" s="173">
        <v>2</v>
      </c>
    </row>
    <row r="2" spans="1:22" x14ac:dyDescent="0.2">
      <c r="B2" s="440" t="str">
        <f>'11-25 payroll'!A1</f>
        <v>THE OLD SPAGHETTI HOUSE</v>
      </c>
      <c r="C2" s="441"/>
      <c r="D2" s="441"/>
      <c r="E2" s="441"/>
      <c r="F2" s="441"/>
      <c r="G2" s="441"/>
      <c r="H2" s="442"/>
      <c r="I2" s="178"/>
      <c r="J2" s="440" t="str">
        <f>'11-25 payroll'!A1</f>
        <v>THE OLD SPAGHETTI HOUSE</v>
      </c>
      <c r="K2" s="441"/>
      <c r="L2" s="441"/>
      <c r="M2" s="441"/>
      <c r="N2" s="441"/>
      <c r="O2" s="441"/>
      <c r="P2" s="442"/>
    </row>
    <row r="3" spans="1:22" s="179" customFormat="1" x14ac:dyDescent="0.2">
      <c r="A3" s="170"/>
      <c r="B3" s="443" t="str">
        <f>'11-25 payroll'!D2</f>
        <v>VALERO</v>
      </c>
      <c r="C3" s="444"/>
      <c r="D3" s="444"/>
      <c r="E3" s="444"/>
      <c r="F3" s="444"/>
      <c r="G3" s="444"/>
      <c r="H3" s="445"/>
      <c r="I3" s="178"/>
      <c r="J3" s="443" t="str">
        <f>'11-25 payroll'!D2</f>
        <v>VALERO</v>
      </c>
      <c r="K3" s="444"/>
      <c r="L3" s="444"/>
      <c r="M3" s="444"/>
      <c r="N3" s="444"/>
      <c r="O3" s="444"/>
      <c r="P3" s="445"/>
      <c r="T3" s="180"/>
      <c r="U3" s="181"/>
      <c r="V3" s="182"/>
    </row>
    <row r="4" spans="1:22" s="187" customFormat="1" ht="6.75" customHeight="1" x14ac:dyDescent="0.2">
      <c r="A4" s="170"/>
      <c r="B4" s="183"/>
      <c r="C4" s="184"/>
      <c r="D4" s="184"/>
      <c r="E4" s="184"/>
      <c r="F4" s="54"/>
      <c r="G4" s="54"/>
      <c r="H4" s="185"/>
      <c r="I4" s="186"/>
      <c r="J4" s="183"/>
      <c r="K4" s="184"/>
      <c r="L4" s="184"/>
      <c r="M4" s="184"/>
      <c r="N4" s="8"/>
      <c r="O4" s="8"/>
      <c r="P4" s="185"/>
      <c r="T4" s="188"/>
      <c r="U4" s="189"/>
      <c r="V4" s="190"/>
    </row>
    <row r="5" spans="1:22" s="174" customFormat="1" x14ac:dyDescent="0.2">
      <c r="A5" s="170"/>
      <c r="B5" s="446" t="s">
        <v>25</v>
      </c>
      <c r="C5" s="447"/>
      <c r="D5" s="447"/>
      <c r="E5" s="447"/>
      <c r="F5" s="447"/>
      <c r="G5" s="447"/>
      <c r="H5" s="448"/>
      <c r="I5" s="178"/>
      <c r="J5" s="446" t="s">
        <v>25</v>
      </c>
      <c r="K5" s="447"/>
      <c r="L5" s="447"/>
      <c r="M5" s="447"/>
      <c r="N5" s="447"/>
      <c r="O5" s="447"/>
      <c r="P5" s="448"/>
      <c r="T5" s="175"/>
      <c r="U5" s="176"/>
      <c r="V5" s="191"/>
    </row>
    <row r="6" spans="1:22" s="187" customFormat="1" ht="6.75" customHeight="1" x14ac:dyDescent="0.2">
      <c r="A6" s="170"/>
      <c r="B6" s="183"/>
      <c r="C6" s="184"/>
      <c r="D6" s="184"/>
      <c r="E6" s="184"/>
      <c r="F6" s="54"/>
      <c r="G6" s="54"/>
      <c r="H6" s="185"/>
      <c r="I6" s="186"/>
      <c r="J6" s="183"/>
      <c r="K6" s="184"/>
      <c r="L6" s="184"/>
      <c r="M6" s="184"/>
      <c r="N6" s="8"/>
      <c r="O6" s="8"/>
      <c r="P6" s="185"/>
      <c r="T6" s="188"/>
      <c r="U6" s="189"/>
      <c r="V6" s="190"/>
    </row>
    <row r="7" spans="1:22" x14ac:dyDescent="0.2">
      <c r="B7" s="192" t="s">
        <v>26</v>
      </c>
      <c r="C7" s="193" t="s">
        <v>27</v>
      </c>
      <c r="D7" s="437" t="str">
        <f>'11-25 payroll'!B7</f>
        <v>Biarcal, Ronald Glenn</v>
      </c>
      <c r="E7" s="437"/>
      <c r="F7" s="437"/>
      <c r="G7" s="55"/>
      <c r="H7" s="194"/>
      <c r="I7" s="195"/>
      <c r="J7" s="192" t="s">
        <v>26</v>
      </c>
      <c r="K7" s="193" t="s">
        <v>27</v>
      </c>
      <c r="L7" s="437" t="str">
        <f>'11-25 payroll'!B8</f>
        <v>Sanchez, Angelo</v>
      </c>
      <c r="M7" s="437"/>
      <c r="N7" s="437"/>
      <c r="O7" s="9"/>
      <c r="P7" s="194"/>
    </row>
    <row r="8" spans="1:22" x14ac:dyDescent="0.2">
      <c r="B8" s="192" t="s">
        <v>28</v>
      </c>
      <c r="C8" s="193" t="s">
        <v>27</v>
      </c>
      <c r="D8" s="438">
        <f>'11-25 payroll'!E7</f>
        <v>502</v>
      </c>
      <c r="E8" s="438"/>
      <c r="F8" s="438"/>
      <c r="G8" s="55"/>
      <c r="H8" s="235"/>
      <c r="I8" s="195"/>
      <c r="J8" s="192" t="s">
        <v>28</v>
      </c>
      <c r="K8" s="193" t="s">
        <v>27</v>
      </c>
      <c r="L8" s="438">
        <f>'11-25 payroll'!E8</f>
        <v>502</v>
      </c>
      <c r="M8" s="438"/>
      <c r="N8" s="438"/>
      <c r="O8" s="9"/>
      <c r="P8" s="235"/>
    </row>
    <row r="9" spans="1:22" s="187" customFormat="1" x14ac:dyDescent="0.2">
      <c r="A9" s="170"/>
      <c r="B9" s="192" t="s">
        <v>29</v>
      </c>
      <c r="C9" s="193" t="s">
        <v>27</v>
      </c>
      <c r="D9" s="439" t="str">
        <f>'11-25 payroll'!D3</f>
        <v>August 11-25</v>
      </c>
      <c r="E9" s="439"/>
      <c r="F9" s="439"/>
      <c r="G9" s="55"/>
      <c r="H9" s="194"/>
      <c r="I9" s="195"/>
      <c r="J9" s="192" t="s">
        <v>29</v>
      </c>
      <c r="K9" s="193" t="s">
        <v>27</v>
      </c>
      <c r="L9" s="439" t="str">
        <f>'11-25 payroll'!D3</f>
        <v>August 11-25</v>
      </c>
      <c r="M9" s="439"/>
      <c r="N9" s="439"/>
      <c r="O9" s="9"/>
      <c r="P9" s="194"/>
      <c r="T9" s="188"/>
      <c r="U9" s="189"/>
      <c r="V9" s="190"/>
    </row>
    <row r="10" spans="1:22" s="174" customFormat="1" x14ac:dyDescent="0.2">
      <c r="A10" s="170"/>
      <c r="B10" s="197" t="s">
        <v>16</v>
      </c>
      <c r="C10" s="198"/>
      <c r="D10" s="199"/>
      <c r="E10" s="200"/>
      <c r="F10" s="201"/>
      <c r="G10" s="55"/>
      <c r="H10" s="56">
        <f>'11-25 payroll'!G7</f>
        <v>6526</v>
      </c>
      <c r="I10" s="195"/>
      <c r="J10" s="197" t="s">
        <v>16</v>
      </c>
      <c r="K10" s="198"/>
      <c r="L10" s="199"/>
      <c r="M10" s="200"/>
      <c r="N10" s="9"/>
      <c r="O10" s="9"/>
      <c r="P10" s="10">
        <f>'11-25 payroll'!G8</f>
        <v>6526</v>
      </c>
      <c r="T10" s="175"/>
      <c r="U10" s="176"/>
      <c r="V10" s="191"/>
    </row>
    <row r="11" spans="1:22" s="174" customFormat="1" x14ac:dyDescent="0.2">
      <c r="A11" s="170"/>
      <c r="B11" s="192"/>
      <c r="C11" s="198"/>
      <c r="D11" s="200" t="s">
        <v>31</v>
      </c>
      <c r="E11" s="202">
        <f>'11-25 payroll'!F7</f>
        <v>0</v>
      </c>
      <c r="F11" s="57" t="s">
        <v>90</v>
      </c>
      <c r="G11" s="55"/>
      <c r="H11" s="58"/>
      <c r="I11" s="195"/>
      <c r="J11" s="192"/>
      <c r="K11" s="198"/>
      <c r="L11" s="200" t="s">
        <v>31</v>
      </c>
      <c r="M11" s="203">
        <f>'11-25 payroll'!F8</f>
        <v>0</v>
      </c>
      <c r="N11" s="50" t="s">
        <v>90</v>
      </c>
      <c r="O11" s="9"/>
      <c r="P11" s="10"/>
      <c r="T11" s="175"/>
      <c r="U11" s="176"/>
      <c r="V11" s="191"/>
    </row>
    <row r="12" spans="1:22" s="187" customFormat="1" ht="6.75" customHeight="1" x14ac:dyDescent="0.2">
      <c r="A12" s="170"/>
      <c r="B12" s="183"/>
      <c r="C12" s="184"/>
      <c r="D12" s="184"/>
      <c r="E12" s="184"/>
      <c r="F12" s="54"/>
      <c r="G12" s="54"/>
      <c r="H12" s="185"/>
      <c r="I12" s="186"/>
      <c r="J12" s="183"/>
      <c r="K12" s="184"/>
      <c r="L12" s="184"/>
      <c r="M12" s="184"/>
      <c r="N12" s="8"/>
      <c r="O12" s="8"/>
      <c r="P12" s="185"/>
      <c r="T12" s="188"/>
      <c r="U12" s="189"/>
      <c r="V12" s="190"/>
    </row>
    <row r="13" spans="1:22" x14ac:dyDescent="0.2">
      <c r="B13" s="192" t="s">
        <v>32</v>
      </c>
      <c r="C13" s="193"/>
      <c r="D13" s="204" t="s">
        <v>33</v>
      </c>
      <c r="E13" s="205"/>
      <c r="F13" s="55">
        <f>'11-25 payroll'!P7</f>
        <v>0</v>
      </c>
      <c r="G13" s="55"/>
      <c r="H13" s="58"/>
      <c r="I13" s="195"/>
      <c r="J13" s="192" t="s">
        <v>32</v>
      </c>
      <c r="K13" s="193"/>
      <c r="L13" s="204" t="s">
        <v>33</v>
      </c>
      <c r="M13" s="205"/>
      <c r="N13" s="9">
        <f>'11-25 payroll'!P8</f>
        <v>0</v>
      </c>
      <c r="O13" s="9"/>
      <c r="P13" s="10"/>
    </row>
    <row r="14" spans="1:22" x14ac:dyDescent="0.2">
      <c r="B14" s="192"/>
      <c r="C14" s="193"/>
      <c r="D14" s="204" t="s">
        <v>95</v>
      </c>
      <c r="E14" s="205"/>
      <c r="F14" s="55">
        <f>'11-25 payroll'!H7</f>
        <v>0</v>
      </c>
      <c r="G14" s="55"/>
      <c r="H14" s="58"/>
      <c r="I14" s="195"/>
      <c r="J14" s="192"/>
      <c r="K14" s="193"/>
      <c r="L14" s="204" t="s">
        <v>95</v>
      </c>
      <c r="M14" s="205"/>
      <c r="N14" s="9">
        <f>'11-25 payroll'!H8</f>
        <v>0</v>
      </c>
      <c r="O14" s="9"/>
      <c r="P14" s="10"/>
    </row>
    <row r="15" spans="1:22" x14ac:dyDescent="0.2">
      <c r="B15" s="192"/>
      <c r="C15" s="193"/>
      <c r="D15" s="204" t="s">
        <v>34</v>
      </c>
      <c r="E15" s="205"/>
      <c r="F15" s="55">
        <f>'11-25 payroll'!R7</f>
        <v>0</v>
      </c>
      <c r="G15" s="55"/>
      <c r="H15" s="58"/>
      <c r="I15" s="195"/>
      <c r="J15" s="192"/>
      <c r="K15" s="193"/>
      <c r="L15" s="204" t="s">
        <v>34</v>
      </c>
      <c r="M15" s="205"/>
      <c r="N15" s="9">
        <f>'11-25 payroll'!R8</f>
        <v>0</v>
      </c>
      <c r="O15" s="9"/>
      <c r="P15" s="10"/>
    </row>
    <row r="16" spans="1:22" x14ac:dyDescent="0.2">
      <c r="B16" s="192"/>
      <c r="C16" s="193"/>
      <c r="D16" s="204" t="s">
        <v>35</v>
      </c>
      <c r="E16" s="205"/>
      <c r="F16" s="55">
        <f>'11-25 payroll'!T7</f>
        <v>0</v>
      </c>
      <c r="G16" s="55"/>
      <c r="H16" s="58"/>
      <c r="I16" s="195"/>
      <c r="J16" s="192"/>
      <c r="K16" s="193"/>
      <c r="L16" s="204" t="s">
        <v>35</v>
      </c>
      <c r="M16" s="205"/>
      <c r="N16" s="9">
        <f>'11-25 payroll'!T8</f>
        <v>0</v>
      </c>
      <c r="O16" s="9"/>
      <c r="P16" s="10"/>
    </row>
    <row r="17" spans="1:22" s="187" customFormat="1" x14ac:dyDescent="0.2">
      <c r="A17" s="170"/>
      <c r="B17" s="192"/>
      <c r="C17" s="193"/>
      <c r="D17" s="204" t="s">
        <v>99</v>
      </c>
      <c r="E17" s="205"/>
      <c r="F17" s="59">
        <f>'11-25 payroll'!V7+'11-25 payroll'!W7+'11-25 payroll'!O35+'11-25 payroll'!P35+'11-25 payroll'!Q35</f>
        <v>1034</v>
      </c>
      <c r="G17" s="55"/>
      <c r="H17" s="56">
        <f>SUM(F13:F17)</f>
        <v>1034</v>
      </c>
      <c r="I17" s="195"/>
      <c r="J17" s="192"/>
      <c r="K17" s="193"/>
      <c r="L17" s="204" t="s">
        <v>99</v>
      </c>
      <c r="M17" s="205"/>
      <c r="N17" s="11">
        <f>'11-25 payroll'!V8+'11-25 payroll'!W8+'11-25 payroll'!O36+'11-25 payroll'!P36+'11-25 payroll'!Q36</f>
        <v>500</v>
      </c>
      <c r="O17" s="9"/>
      <c r="P17" s="10">
        <f>SUM(N13:N17)</f>
        <v>500</v>
      </c>
      <c r="T17" s="188"/>
      <c r="U17" s="189"/>
      <c r="V17" s="190"/>
    </row>
    <row r="18" spans="1:22" s="174" customFormat="1" x14ac:dyDescent="0.2">
      <c r="A18" s="170"/>
      <c r="B18" s="192" t="s">
        <v>36</v>
      </c>
      <c r="C18" s="198"/>
      <c r="D18" s="198"/>
      <c r="E18" s="198"/>
      <c r="F18" s="55"/>
      <c r="G18" s="55"/>
      <c r="H18" s="58"/>
      <c r="I18" s="195"/>
      <c r="J18" s="192" t="s">
        <v>36</v>
      </c>
      <c r="K18" s="198"/>
      <c r="L18" s="198"/>
      <c r="M18" s="198"/>
      <c r="N18" s="9"/>
      <c r="O18" s="9"/>
      <c r="P18" s="10"/>
      <c r="T18" s="175"/>
      <c r="U18" s="176"/>
      <c r="V18" s="191"/>
    </row>
    <row r="19" spans="1:22" s="174" customFormat="1" x14ac:dyDescent="0.2">
      <c r="A19" s="170"/>
      <c r="B19" s="192"/>
      <c r="C19" s="198"/>
      <c r="D19" s="206" t="s">
        <v>4</v>
      </c>
      <c r="E19" s="205"/>
      <c r="F19" s="55">
        <f>'11-25 payroll'!J22</f>
        <v>472.3</v>
      </c>
      <c r="G19" s="55"/>
      <c r="H19" s="207"/>
      <c r="I19" s="195"/>
      <c r="J19" s="192"/>
      <c r="K19" s="198"/>
      <c r="L19" s="206" t="s">
        <v>4</v>
      </c>
      <c r="M19" s="205"/>
      <c r="N19" s="9">
        <f>'11-25 payroll'!J23</f>
        <v>472.3</v>
      </c>
      <c r="O19" s="9"/>
      <c r="P19" s="207"/>
      <c r="T19" s="175"/>
      <c r="U19" s="176"/>
      <c r="V19" s="191"/>
    </row>
    <row r="20" spans="1:22" s="174" customFormat="1" x14ac:dyDescent="0.2">
      <c r="A20" s="170"/>
      <c r="B20" s="192"/>
      <c r="C20" s="198"/>
      <c r="D20" s="206" t="s">
        <v>96</v>
      </c>
      <c r="E20" s="205"/>
      <c r="F20" s="55">
        <f>'11-25 payroll'!K22</f>
        <v>699.77</v>
      </c>
      <c r="G20" s="55"/>
      <c r="H20" s="207"/>
      <c r="I20" s="195"/>
      <c r="J20" s="192"/>
      <c r="K20" s="198"/>
      <c r="L20" s="206" t="s">
        <v>96</v>
      </c>
      <c r="M20" s="205"/>
      <c r="N20" s="9">
        <f>'11-25 payroll'!K23</f>
        <v>0</v>
      </c>
      <c r="O20" s="9"/>
      <c r="P20" s="207"/>
      <c r="T20" s="175"/>
      <c r="U20" s="176"/>
      <c r="V20" s="191"/>
    </row>
    <row r="21" spans="1:22" x14ac:dyDescent="0.2">
      <c r="B21" s="192"/>
      <c r="C21" s="198"/>
      <c r="D21" s="206" t="s">
        <v>37</v>
      </c>
      <c r="E21" s="205"/>
      <c r="F21" s="55">
        <f>'11-25 payroll'!L22</f>
        <v>150</v>
      </c>
      <c r="G21" s="55"/>
      <c r="H21" s="207"/>
      <c r="I21" s="195"/>
      <c r="J21" s="192"/>
      <c r="K21" s="198"/>
      <c r="L21" s="206" t="s">
        <v>37</v>
      </c>
      <c r="M21" s="205"/>
      <c r="N21" s="9">
        <f>'11-25 payroll'!L23</f>
        <v>150</v>
      </c>
      <c r="O21" s="9"/>
      <c r="P21" s="207"/>
    </row>
    <row r="22" spans="1:22" x14ac:dyDescent="0.2">
      <c r="B22" s="192"/>
      <c r="C22" s="198"/>
      <c r="D22" s="206" t="s">
        <v>38</v>
      </c>
      <c r="E22" s="205"/>
      <c r="F22" s="55">
        <f>'11-25 payroll'!O22</f>
        <v>0</v>
      </c>
      <c r="G22" s="55"/>
      <c r="H22" s="207"/>
      <c r="I22" s="195"/>
      <c r="J22" s="192"/>
      <c r="K22" s="198"/>
      <c r="L22" s="206" t="s">
        <v>38</v>
      </c>
      <c r="M22" s="205"/>
      <c r="N22" s="208">
        <f>'11-25 payroll'!O23</f>
        <v>0</v>
      </c>
      <c r="O22" s="9"/>
      <c r="P22" s="207"/>
    </row>
    <row r="23" spans="1:22" x14ac:dyDescent="0.2">
      <c r="B23" s="192"/>
      <c r="C23" s="198"/>
      <c r="D23" s="206" t="s">
        <v>98</v>
      </c>
      <c r="E23" s="205"/>
      <c r="F23" s="55">
        <f>+'11-25 payroll'!F56+'11-25 payroll'!G56+'11-25 payroll'!H56+'11-25 payroll'!I56</f>
        <v>1387.5</v>
      </c>
      <c r="G23" s="55"/>
      <c r="H23" s="207"/>
      <c r="I23" s="195"/>
      <c r="J23" s="192"/>
      <c r="K23" s="198"/>
      <c r="L23" s="206" t="s">
        <v>98</v>
      </c>
      <c r="M23" s="205"/>
      <c r="N23" s="9">
        <f>+'11-25 payroll'!F57+'11-25 payroll'!G57+'11-25 payroll'!H57+'11-25 payroll'!I57</f>
        <v>0</v>
      </c>
      <c r="O23" s="9"/>
      <c r="P23" s="207"/>
    </row>
    <row r="24" spans="1:22" x14ac:dyDescent="0.2">
      <c r="B24" s="192"/>
      <c r="C24" s="198"/>
      <c r="D24" s="198" t="s">
        <v>43</v>
      </c>
      <c r="E24" s="205"/>
      <c r="F24" s="55">
        <f>'11-25 payroll'!E56</f>
        <v>0</v>
      </c>
      <c r="G24" s="55"/>
      <c r="H24" s="207"/>
      <c r="I24" s="195"/>
      <c r="J24" s="192"/>
      <c r="K24" s="198"/>
      <c r="L24" s="198" t="s">
        <v>43</v>
      </c>
      <c r="M24" s="205"/>
      <c r="N24" s="9">
        <f>'11-25 payroll'!E57</f>
        <v>0</v>
      </c>
      <c r="O24" s="9"/>
      <c r="P24" s="207"/>
    </row>
    <row r="25" spans="1:22" s="187" customFormat="1" x14ac:dyDescent="0.2">
      <c r="A25" s="170"/>
      <c r="B25" s="192"/>
      <c r="C25" s="198"/>
      <c r="D25" s="206" t="s">
        <v>39</v>
      </c>
      <c r="E25" s="205"/>
      <c r="F25" s="55">
        <f>'11-25 payroll'!H22+'11-25 payroll'!F22+'11-25 payroll'!I22</f>
        <v>0</v>
      </c>
      <c r="G25" s="55"/>
      <c r="H25" s="209"/>
      <c r="I25" s="195"/>
      <c r="J25" s="192"/>
      <c r="K25" s="198"/>
      <c r="L25" s="206" t="s">
        <v>39</v>
      </c>
      <c r="M25" s="205"/>
      <c r="N25" s="9">
        <f>'11-25 payroll'!F23+'11-25 payroll'!H23</f>
        <v>0</v>
      </c>
      <c r="O25" s="9"/>
      <c r="P25" s="209"/>
      <c r="R25" s="210"/>
      <c r="T25" s="188"/>
      <c r="U25" s="189"/>
      <c r="V25" s="190"/>
    </row>
    <row r="26" spans="1:22" s="187" customFormat="1" x14ac:dyDescent="0.2">
      <c r="A26" s="170"/>
      <c r="B26" s="192"/>
      <c r="C26" s="198"/>
      <c r="D26" s="206" t="s">
        <v>97</v>
      </c>
      <c r="E26" s="205"/>
      <c r="F26" s="55">
        <f>'11-25 payroll'!N22</f>
        <v>579.26</v>
      </c>
      <c r="G26" s="55"/>
      <c r="H26" s="209"/>
      <c r="I26" s="195"/>
      <c r="J26" s="192"/>
      <c r="K26" s="198"/>
      <c r="L26" s="206" t="s">
        <v>97</v>
      </c>
      <c r="M26" s="205"/>
      <c r="N26" s="9">
        <f>'11-25 payroll'!N23</f>
        <v>0</v>
      </c>
      <c r="O26" s="9"/>
      <c r="P26" s="209"/>
      <c r="R26" s="210"/>
      <c r="T26" s="188"/>
      <c r="U26" s="189"/>
      <c r="V26" s="190"/>
    </row>
    <row r="27" spans="1:22" s="187" customFormat="1" x14ac:dyDescent="0.2">
      <c r="A27" s="170"/>
      <c r="B27" s="192"/>
      <c r="C27" s="198"/>
      <c r="D27" s="198" t="s">
        <v>6</v>
      </c>
      <c r="E27" s="205"/>
      <c r="F27" s="55">
        <f>'11-25 payroll'!M22</f>
        <v>0</v>
      </c>
      <c r="G27" s="55"/>
      <c r="H27" s="211">
        <f>-SUM(F19:F27)</f>
        <v>-3288.83</v>
      </c>
      <c r="I27" s="195"/>
      <c r="J27" s="192"/>
      <c r="K27" s="198"/>
      <c r="L27" s="198" t="s">
        <v>6</v>
      </c>
      <c r="M27" s="205"/>
      <c r="N27" s="9">
        <f>'11-25 payroll'!M23</f>
        <v>0</v>
      </c>
      <c r="O27" s="9"/>
      <c r="P27" s="211">
        <f>-SUM(N19:N27)</f>
        <v>-622.29999999999995</v>
      </c>
      <c r="T27" s="188"/>
      <c r="U27" s="189"/>
      <c r="V27" s="190"/>
    </row>
    <row r="28" spans="1:22" s="174" customFormat="1" ht="13.5" thickBot="1" x14ac:dyDescent="0.25">
      <c r="B28" s="197" t="s">
        <v>40</v>
      </c>
      <c r="C28" s="212"/>
      <c r="D28" s="212"/>
      <c r="E28" s="212"/>
      <c r="F28" s="60"/>
      <c r="G28" s="60"/>
      <c r="H28" s="213">
        <f>SUM(H10:H27)</f>
        <v>4271.17</v>
      </c>
      <c r="I28" s="214"/>
      <c r="J28" s="197" t="s">
        <v>40</v>
      </c>
      <c r="K28" s="212"/>
      <c r="L28" s="212"/>
      <c r="M28" s="212"/>
      <c r="N28" s="12"/>
      <c r="O28" s="12"/>
      <c r="P28" s="213">
        <f>SUM(P10:P27)</f>
        <v>6403.7</v>
      </c>
      <c r="R28" s="215"/>
      <c r="T28" s="216">
        <f>+H28-'11-25 payroll'!S35</f>
        <v>-1387.5</v>
      </c>
      <c r="U28" s="217"/>
      <c r="V28" s="218">
        <f>+P28-'11-25 payroll'!S36</f>
        <v>0</v>
      </c>
    </row>
    <row r="29" spans="1:22" s="187" customFormat="1" ht="13.5" thickTop="1" x14ac:dyDescent="0.2">
      <c r="A29" s="170"/>
      <c r="B29" s="192" t="s">
        <v>41</v>
      </c>
      <c r="C29" s="198"/>
      <c r="D29" s="198"/>
      <c r="E29" s="198"/>
      <c r="F29" s="55"/>
      <c r="G29" s="55"/>
      <c r="H29" s="194"/>
      <c r="I29" s="195"/>
      <c r="J29" s="192" t="s">
        <v>41</v>
      </c>
      <c r="K29" s="198"/>
      <c r="L29" s="198"/>
      <c r="M29" s="198"/>
      <c r="N29" s="9"/>
      <c r="O29" s="9"/>
      <c r="P29" s="194"/>
      <c r="T29" s="188"/>
      <c r="U29" s="189"/>
      <c r="V29" s="190"/>
    </row>
    <row r="30" spans="1:22" s="174" customFormat="1" x14ac:dyDescent="0.2">
      <c r="A30" s="170"/>
      <c r="B30" s="192"/>
      <c r="C30" s="198"/>
      <c r="D30" s="198"/>
      <c r="E30" s="198"/>
      <c r="F30" s="55"/>
      <c r="G30" s="55"/>
      <c r="H30" s="194"/>
      <c r="I30" s="195"/>
      <c r="J30" s="192"/>
      <c r="K30" s="198"/>
      <c r="L30" s="198"/>
      <c r="M30" s="198"/>
      <c r="N30" s="9"/>
      <c r="O30" s="9"/>
      <c r="P30" s="194"/>
      <c r="T30" s="175"/>
      <c r="U30" s="176"/>
      <c r="V30" s="191"/>
    </row>
    <row r="31" spans="1:22" s="174" customFormat="1" x14ac:dyDescent="0.2">
      <c r="A31" s="170"/>
      <c r="B31" s="192" t="s">
        <v>42</v>
      </c>
      <c r="C31" s="198"/>
      <c r="D31" s="198"/>
      <c r="E31" s="198"/>
      <c r="F31" s="61"/>
      <c r="G31" s="61"/>
      <c r="H31" s="194"/>
      <c r="I31" s="219"/>
      <c r="J31" s="192" t="s">
        <v>42</v>
      </c>
      <c r="K31" s="198"/>
      <c r="L31" s="198"/>
      <c r="M31" s="198"/>
      <c r="N31" s="13"/>
      <c r="O31" s="13"/>
      <c r="P31" s="194"/>
      <c r="T31" s="175"/>
      <c r="U31" s="176"/>
      <c r="V31" s="191"/>
    </row>
    <row r="32" spans="1:22" ht="13.5" thickBot="1" x14ac:dyDescent="0.25">
      <c r="B32" s="220"/>
      <c r="C32" s="221"/>
      <c r="D32" s="221"/>
      <c r="E32" s="221"/>
      <c r="F32" s="52"/>
      <c r="G32" s="52"/>
      <c r="H32" s="222"/>
      <c r="I32" s="223"/>
      <c r="J32" s="224"/>
      <c r="K32" s="225"/>
      <c r="L32" s="225"/>
      <c r="M32" s="225"/>
      <c r="N32" s="14"/>
      <c r="O32" s="14"/>
      <c r="P32" s="226"/>
    </row>
    <row r="33" spans="2:17" x14ac:dyDescent="0.2">
      <c r="J33" s="170"/>
      <c r="K33" s="228"/>
      <c r="L33" s="228"/>
      <c r="M33" s="228"/>
      <c r="N33" s="7"/>
      <c r="O33" s="7"/>
      <c r="P33" s="228"/>
    </row>
    <row r="34" spans="2:17" ht="13.5" thickBot="1" x14ac:dyDescent="0.25">
      <c r="B34" s="171">
        <v>3</v>
      </c>
      <c r="C34" s="172"/>
      <c r="D34" s="172"/>
      <c r="E34" s="172"/>
      <c r="F34" s="172"/>
      <c r="G34" s="172"/>
      <c r="H34" s="172"/>
      <c r="J34" s="173">
        <v>4</v>
      </c>
    </row>
    <row r="35" spans="2:17" x14ac:dyDescent="0.2">
      <c r="B35" s="440" t="str">
        <f>'11-25 payroll'!A1</f>
        <v>THE OLD SPAGHETTI HOUSE</v>
      </c>
      <c r="C35" s="441"/>
      <c r="D35" s="441"/>
      <c r="E35" s="441"/>
      <c r="F35" s="441"/>
      <c r="G35" s="441"/>
      <c r="H35" s="442"/>
      <c r="I35" s="178"/>
      <c r="J35" s="440" t="str">
        <f>'11-25 payroll'!A1</f>
        <v>THE OLD SPAGHETTI HOUSE</v>
      </c>
      <c r="K35" s="441"/>
      <c r="L35" s="441"/>
      <c r="M35" s="441"/>
      <c r="N35" s="441"/>
      <c r="O35" s="441"/>
      <c r="P35" s="442"/>
    </row>
    <row r="36" spans="2:17" x14ac:dyDescent="0.2">
      <c r="B36" s="443" t="str">
        <f>'11-25 payroll'!D2</f>
        <v>VALERO</v>
      </c>
      <c r="C36" s="444"/>
      <c r="D36" s="444"/>
      <c r="E36" s="444"/>
      <c r="F36" s="444"/>
      <c r="G36" s="444"/>
      <c r="H36" s="445"/>
      <c r="I36" s="178"/>
      <c r="J36" s="443" t="str">
        <f>'11-25 payroll'!D2</f>
        <v>VALERO</v>
      </c>
      <c r="K36" s="444"/>
      <c r="L36" s="444"/>
      <c r="M36" s="444"/>
      <c r="N36" s="444"/>
      <c r="O36" s="444"/>
      <c r="P36" s="445"/>
      <c r="Q36" s="179"/>
    </row>
    <row r="37" spans="2:17" x14ac:dyDescent="0.2">
      <c r="B37" s="183"/>
      <c r="C37" s="184"/>
      <c r="D37" s="184"/>
      <c r="E37" s="184"/>
      <c r="F37" s="54"/>
      <c r="G37" s="54"/>
      <c r="H37" s="185"/>
      <c r="I37" s="186"/>
      <c r="J37" s="183"/>
      <c r="K37" s="184"/>
      <c r="L37" s="184"/>
      <c r="M37" s="184"/>
      <c r="N37" s="8"/>
      <c r="O37" s="8"/>
      <c r="P37" s="185"/>
      <c r="Q37" s="187"/>
    </row>
    <row r="38" spans="2:17" x14ac:dyDescent="0.2">
      <c r="B38" s="446" t="s">
        <v>25</v>
      </c>
      <c r="C38" s="447"/>
      <c r="D38" s="447"/>
      <c r="E38" s="447"/>
      <c r="F38" s="447"/>
      <c r="G38" s="447"/>
      <c r="H38" s="448"/>
      <c r="I38" s="178"/>
      <c r="J38" s="446" t="s">
        <v>25</v>
      </c>
      <c r="K38" s="447"/>
      <c r="L38" s="447"/>
      <c r="M38" s="447"/>
      <c r="N38" s="447"/>
      <c r="O38" s="447"/>
      <c r="P38" s="448"/>
      <c r="Q38" s="174"/>
    </row>
    <row r="39" spans="2:17" x14ac:dyDescent="0.2">
      <c r="B39" s="183"/>
      <c r="C39" s="184"/>
      <c r="D39" s="184"/>
      <c r="E39" s="184"/>
      <c r="F39" s="54"/>
      <c r="G39" s="54"/>
      <c r="H39" s="185"/>
      <c r="I39" s="186"/>
      <c r="J39" s="183"/>
      <c r="K39" s="184"/>
      <c r="L39" s="184"/>
      <c r="M39" s="184"/>
      <c r="N39" s="8"/>
      <c r="O39" s="8"/>
      <c r="P39" s="185"/>
      <c r="Q39" s="187"/>
    </row>
    <row r="40" spans="2:17" x14ac:dyDescent="0.2">
      <c r="B40" s="192" t="s">
        <v>26</v>
      </c>
      <c r="C40" s="193" t="s">
        <v>27</v>
      </c>
      <c r="D40" s="437" t="str">
        <f>'11-25 payroll'!B24</f>
        <v>Dino, Joyce</v>
      </c>
      <c r="E40" s="437"/>
      <c r="F40" s="437"/>
      <c r="G40" s="55"/>
      <c r="H40" s="194"/>
      <c r="I40" s="195"/>
      <c r="J40" s="192" t="s">
        <v>26</v>
      </c>
      <c r="K40" s="193" t="s">
        <v>27</v>
      </c>
      <c r="L40" s="436" t="str">
        <f>'11-25 payroll'!B10</f>
        <v xml:space="preserve">Sosa, Anna Marie </v>
      </c>
      <c r="M40" s="437"/>
      <c r="N40" s="437"/>
      <c r="O40" s="9"/>
      <c r="P40" s="194"/>
    </row>
    <row r="41" spans="2:17" x14ac:dyDescent="0.2">
      <c r="B41" s="192" t="s">
        <v>28</v>
      </c>
      <c r="C41" s="193" t="s">
        <v>27</v>
      </c>
      <c r="D41" s="438">
        <f>'11-25 payroll'!E9</f>
        <v>790.23076923076928</v>
      </c>
      <c r="E41" s="438"/>
      <c r="F41" s="438"/>
      <c r="G41" s="55"/>
      <c r="H41" s="235"/>
      <c r="I41" s="195"/>
      <c r="J41" s="192" t="s">
        <v>28</v>
      </c>
      <c r="K41" s="193" t="s">
        <v>27</v>
      </c>
      <c r="L41" s="438">
        <f>'11-25 payroll'!E10</f>
        <v>502</v>
      </c>
      <c r="M41" s="438"/>
      <c r="N41" s="438"/>
      <c r="O41" s="9"/>
      <c r="P41" s="235"/>
    </row>
    <row r="42" spans="2:17" x14ac:dyDescent="0.2">
      <c r="B42" s="192" t="s">
        <v>29</v>
      </c>
      <c r="C42" s="193" t="s">
        <v>27</v>
      </c>
      <c r="D42" s="439" t="str">
        <f>'11-25 payroll'!D3</f>
        <v>August 11-25</v>
      </c>
      <c r="E42" s="439"/>
      <c r="F42" s="439"/>
      <c r="G42" s="55"/>
      <c r="H42" s="194"/>
      <c r="I42" s="195"/>
      <c r="J42" s="192" t="s">
        <v>29</v>
      </c>
      <c r="K42" s="193" t="s">
        <v>27</v>
      </c>
      <c r="L42" s="439" t="str">
        <f>'11-25 payroll'!D3</f>
        <v>August 11-25</v>
      </c>
      <c r="M42" s="439"/>
      <c r="N42" s="439"/>
      <c r="O42" s="9"/>
      <c r="P42" s="194"/>
      <c r="Q42" s="187"/>
    </row>
    <row r="43" spans="2:17" x14ac:dyDescent="0.2">
      <c r="B43" s="197" t="s">
        <v>16</v>
      </c>
      <c r="C43" s="198"/>
      <c r="D43" s="199"/>
      <c r="E43" s="200"/>
      <c r="F43" s="201"/>
      <c r="G43" s="55"/>
      <c r="H43" s="56">
        <f>'11-25 payroll'!G9</f>
        <v>10273</v>
      </c>
      <c r="I43" s="195"/>
      <c r="J43" s="197" t="s">
        <v>16</v>
      </c>
      <c r="K43" s="198"/>
      <c r="L43" s="199"/>
      <c r="M43" s="200"/>
      <c r="N43" s="9"/>
      <c r="O43" s="9"/>
      <c r="P43" s="10">
        <f>'11-25 payroll'!G10</f>
        <v>6526</v>
      </c>
      <c r="Q43" s="174"/>
    </row>
    <row r="44" spans="2:17" x14ac:dyDescent="0.2">
      <c r="B44" s="192"/>
      <c r="C44" s="198"/>
      <c r="D44" s="200" t="s">
        <v>31</v>
      </c>
      <c r="E44" s="202">
        <f>'11-25 payroll'!F9</f>
        <v>0</v>
      </c>
      <c r="F44" s="57" t="s">
        <v>90</v>
      </c>
      <c r="G44" s="55"/>
      <c r="H44" s="58"/>
      <c r="I44" s="195"/>
      <c r="J44" s="192"/>
      <c r="K44" s="198"/>
      <c r="L44" s="200" t="s">
        <v>31</v>
      </c>
      <c r="M44" s="203">
        <f>'11-25 payroll'!F10</f>
        <v>0</v>
      </c>
      <c r="N44" s="50" t="s">
        <v>90</v>
      </c>
      <c r="O44" s="9"/>
      <c r="P44" s="10"/>
      <c r="Q44" s="174"/>
    </row>
    <row r="45" spans="2:17" x14ac:dyDescent="0.2">
      <c r="B45" s="183"/>
      <c r="C45" s="184"/>
      <c r="D45" s="184"/>
      <c r="E45" s="184"/>
      <c r="F45" s="54"/>
      <c r="G45" s="54"/>
      <c r="H45" s="185"/>
      <c r="I45" s="186"/>
      <c r="J45" s="183"/>
      <c r="K45" s="184"/>
      <c r="L45" s="184"/>
      <c r="M45" s="184"/>
      <c r="N45" s="8"/>
      <c r="O45" s="8"/>
      <c r="P45" s="185"/>
      <c r="Q45" s="187"/>
    </row>
    <row r="46" spans="2:17" x14ac:dyDescent="0.2">
      <c r="B46" s="192" t="s">
        <v>32</v>
      </c>
      <c r="C46" s="193"/>
      <c r="D46" s="204" t="s">
        <v>33</v>
      </c>
      <c r="E46" s="205"/>
      <c r="F46" s="55">
        <f>'11-25 payroll'!P9</f>
        <v>0</v>
      </c>
      <c r="G46" s="55"/>
      <c r="H46" s="58"/>
      <c r="I46" s="195"/>
      <c r="J46" s="192" t="s">
        <v>32</v>
      </c>
      <c r="K46" s="193"/>
      <c r="L46" s="204" t="s">
        <v>33</v>
      </c>
      <c r="M46" s="205"/>
      <c r="N46" s="9">
        <f>'11-25 payroll'!P10</f>
        <v>0</v>
      </c>
      <c r="O46" s="9"/>
      <c r="P46" s="10"/>
    </row>
    <row r="47" spans="2:17" x14ac:dyDescent="0.2">
      <c r="B47" s="192"/>
      <c r="C47" s="193"/>
      <c r="D47" s="204" t="s">
        <v>95</v>
      </c>
      <c r="E47" s="205"/>
      <c r="F47" s="55">
        <f>'11-25 payroll'!H9</f>
        <v>0</v>
      </c>
      <c r="G47" s="55"/>
      <c r="H47" s="58"/>
      <c r="I47" s="195"/>
      <c r="J47" s="192"/>
      <c r="K47" s="193"/>
      <c r="L47" s="204" t="s">
        <v>95</v>
      </c>
      <c r="M47" s="205"/>
      <c r="N47" s="9">
        <f>'11-25 payroll'!H10</f>
        <v>0</v>
      </c>
      <c r="O47" s="9"/>
      <c r="P47" s="10"/>
    </row>
    <row r="48" spans="2:17" x14ac:dyDescent="0.2">
      <c r="B48" s="192"/>
      <c r="C48" s="193"/>
      <c r="D48" s="204" t="s">
        <v>34</v>
      </c>
      <c r="E48" s="205"/>
      <c r="F48" s="55">
        <f>'11-25 payroll'!R9</f>
        <v>0</v>
      </c>
      <c r="G48" s="55"/>
      <c r="H48" s="58"/>
      <c r="I48" s="195"/>
      <c r="J48" s="192"/>
      <c r="K48" s="193"/>
      <c r="L48" s="204" t="s">
        <v>34</v>
      </c>
      <c r="M48" s="205"/>
      <c r="N48" s="9">
        <f>'11-25 payroll'!R10</f>
        <v>0</v>
      </c>
      <c r="O48" s="9"/>
      <c r="P48" s="10"/>
    </row>
    <row r="49" spans="1:22" x14ac:dyDescent="0.2">
      <c r="B49" s="192"/>
      <c r="C49" s="193"/>
      <c r="D49" s="204" t="s">
        <v>35</v>
      </c>
      <c r="E49" s="205"/>
      <c r="F49" s="55">
        <f>'11-25 payroll'!T9</f>
        <v>0</v>
      </c>
      <c r="G49" s="55"/>
      <c r="H49" s="58"/>
      <c r="I49" s="195"/>
      <c r="J49" s="192"/>
      <c r="K49" s="193"/>
      <c r="L49" s="204" t="s">
        <v>35</v>
      </c>
      <c r="M49" s="205"/>
      <c r="N49" s="9">
        <f>'11-25 payroll'!T10</f>
        <v>0</v>
      </c>
      <c r="O49" s="9"/>
      <c r="P49" s="10"/>
    </row>
    <row r="50" spans="1:22" x14ac:dyDescent="0.2">
      <c r="B50" s="192"/>
      <c r="C50" s="193"/>
      <c r="D50" s="204" t="s">
        <v>99</v>
      </c>
      <c r="E50" s="205"/>
      <c r="F50" s="59">
        <f>'11-25 payroll'!V9+'11-25 payroll'!W9+'11-25 payroll'!O37+'11-25 payroll'!P37+'11-25 payroll'!Q37</f>
        <v>1250</v>
      </c>
      <c r="G50" s="55"/>
      <c r="H50" s="56">
        <f>SUM(F46:F50)</f>
        <v>1250</v>
      </c>
      <c r="I50" s="195"/>
      <c r="J50" s="192"/>
      <c r="K50" s="193"/>
      <c r="L50" s="204" t="s">
        <v>99</v>
      </c>
      <c r="M50" s="205"/>
      <c r="N50" s="11">
        <f>'11-25 payroll'!W10+'11-25 payroll'!V10+'11-25 payroll'!O38+'11-25 payroll'!P38+'11-25 payroll'!Q38</f>
        <v>1034</v>
      </c>
      <c r="O50" s="9"/>
      <c r="P50" s="10">
        <f>SUM(N46:N50)</f>
        <v>1034</v>
      </c>
      <c r="Q50" s="187"/>
    </row>
    <row r="51" spans="1:22" x14ac:dyDescent="0.2">
      <c r="B51" s="192" t="s">
        <v>36</v>
      </c>
      <c r="C51" s="198"/>
      <c r="D51" s="198"/>
      <c r="E51" s="198"/>
      <c r="F51" s="55"/>
      <c r="G51" s="55"/>
      <c r="H51" s="58"/>
      <c r="I51" s="195"/>
      <c r="J51" s="192" t="s">
        <v>36</v>
      </c>
      <c r="K51" s="198"/>
      <c r="L51" s="198"/>
      <c r="M51" s="198"/>
      <c r="N51" s="9"/>
      <c r="O51" s="9"/>
      <c r="P51" s="10"/>
      <c r="Q51" s="174"/>
    </row>
    <row r="52" spans="1:22" x14ac:dyDescent="0.2">
      <c r="B52" s="192"/>
      <c r="C52" s="198"/>
      <c r="D52" s="206" t="s">
        <v>4</v>
      </c>
      <c r="E52" s="205"/>
      <c r="F52" s="55">
        <f>'11-25 payroll'!J24</f>
        <v>581.29999999999995</v>
      </c>
      <c r="G52" s="55"/>
      <c r="H52" s="207"/>
      <c r="I52" s="195"/>
      <c r="J52" s="192"/>
      <c r="K52" s="198"/>
      <c r="L52" s="206" t="s">
        <v>4</v>
      </c>
      <c r="M52" s="205"/>
      <c r="N52" s="9">
        <f>'11-25 payroll'!J25</f>
        <v>490.5</v>
      </c>
      <c r="O52" s="9"/>
      <c r="P52" s="207"/>
      <c r="Q52" s="174"/>
    </row>
    <row r="53" spans="1:22" x14ac:dyDescent="0.2">
      <c r="B53" s="192"/>
      <c r="C53" s="198"/>
      <c r="D53" s="206" t="s">
        <v>96</v>
      </c>
      <c r="E53" s="205"/>
      <c r="F53" s="55">
        <f>'11-25 payroll'!K24</f>
        <v>1476.64</v>
      </c>
      <c r="G53" s="55"/>
      <c r="H53" s="207"/>
      <c r="I53" s="195"/>
      <c r="J53" s="192"/>
      <c r="K53" s="198"/>
      <c r="L53" s="206" t="s">
        <v>96</v>
      </c>
      <c r="M53" s="205"/>
      <c r="N53" s="9">
        <f>'11-25 payroll'!K25</f>
        <v>0</v>
      </c>
      <c r="O53" s="9"/>
      <c r="P53" s="207"/>
      <c r="Q53" s="174"/>
    </row>
    <row r="54" spans="1:22" x14ac:dyDescent="0.2">
      <c r="B54" s="192"/>
      <c r="C54" s="198"/>
      <c r="D54" s="206" t="s">
        <v>37</v>
      </c>
      <c r="E54" s="205"/>
      <c r="F54" s="55">
        <f>'11-25 payroll'!L24</f>
        <v>200</v>
      </c>
      <c r="G54" s="55"/>
      <c r="H54" s="207"/>
      <c r="I54" s="195"/>
      <c r="J54" s="192"/>
      <c r="K54" s="198"/>
      <c r="L54" s="206" t="s">
        <v>37</v>
      </c>
      <c r="M54" s="205"/>
      <c r="N54" s="9">
        <f>'11-25 payroll'!L25</f>
        <v>150</v>
      </c>
      <c r="O54" s="9"/>
      <c r="P54" s="207"/>
    </row>
    <row r="55" spans="1:22" x14ac:dyDescent="0.2">
      <c r="B55" s="192"/>
      <c r="C55" s="198"/>
      <c r="D55" s="206" t="s">
        <v>38</v>
      </c>
      <c r="E55" s="205"/>
      <c r="F55" s="55">
        <f>'11-25 payroll'!O24</f>
        <v>0</v>
      </c>
      <c r="G55" s="55"/>
      <c r="H55" s="207"/>
      <c r="I55" s="195"/>
      <c r="J55" s="192"/>
      <c r="K55" s="198"/>
      <c r="L55" s="206" t="s">
        <v>38</v>
      </c>
      <c r="M55" s="205"/>
      <c r="N55" s="208">
        <f>'11-25 payroll'!O25</f>
        <v>0</v>
      </c>
      <c r="O55" s="9"/>
      <c r="P55" s="207"/>
    </row>
    <row r="56" spans="1:22" x14ac:dyDescent="0.2">
      <c r="B56" s="192"/>
      <c r="C56" s="198"/>
      <c r="D56" s="206" t="s">
        <v>98</v>
      </c>
      <c r="E56" s="205"/>
      <c r="F56" s="55">
        <f>+'11-25 payroll'!F58+'11-25 payroll'!G58+'11-25 payroll'!H58+'11-25 payroll'!I58</f>
        <v>1601.39</v>
      </c>
      <c r="G56" s="55"/>
      <c r="H56" s="207"/>
      <c r="I56" s="195"/>
      <c r="J56" s="192"/>
      <c r="K56" s="198"/>
      <c r="L56" s="206" t="s">
        <v>98</v>
      </c>
      <c r="M56" s="205"/>
      <c r="N56" s="9">
        <f>+'11-25 payroll'!F59+'11-25 payroll'!G59+'11-25 payroll'!H59+'11-25 payroll'!I59</f>
        <v>1537.335</v>
      </c>
      <c r="O56" s="9"/>
      <c r="P56" s="207"/>
    </row>
    <row r="57" spans="1:22" x14ac:dyDescent="0.2">
      <c r="B57" s="192"/>
      <c r="C57" s="198"/>
      <c r="D57" s="198" t="s">
        <v>43</v>
      </c>
      <c r="E57" s="205"/>
      <c r="F57" s="55">
        <f>'11-25 payroll'!E58</f>
        <v>0</v>
      </c>
      <c r="G57" s="55"/>
      <c r="H57" s="207"/>
      <c r="I57" s="195"/>
      <c r="J57" s="192"/>
      <c r="K57" s="198"/>
      <c r="L57" s="198" t="s">
        <v>43</v>
      </c>
      <c r="M57" s="205"/>
      <c r="N57" s="9">
        <f>'11-25 payroll'!E59</f>
        <v>0</v>
      </c>
      <c r="O57" s="9"/>
      <c r="P57" s="207"/>
    </row>
    <row r="58" spans="1:22" x14ac:dyDescent="0.2">
      <c r="B58" s="192"/>
      <c r="C58" s="198"/>
      <c r="D58" s="206" t="s">
        <v>39</v>
      </c>
      <c r="E58" s="205"/>
      <c r="F58" s="55">
        <f>'11-25 payroll'!F24+'11-25 payroll'!H24</f>
        <v>0</v>
      </c>
      <c r="G58" s="55"/>
      <c r="H58" s="209"/>
      <c r="I58" s="195"/>
      <c r="J58" s="192"/>
      <c r="K58" s="198"/>
      <c r="L58" s="206" t="s">
        <v>39</v>
      </c>
      <c r="M58" s="205"/>
      <c r="N58" s="9">
        <f>'11-25 payroll'!F25+'11-25 payroll'!H25</f>
        <v>0</v>
      </c>
      <c r="O58" s="9"/>
      <c r="P58" s="209"/>
      <c r="Q58" s="187"/>
    </row>
    <row r="59" spans="1:22" x14ac:dyDescent="0.2">
      <c r="B59" s="192"/>
      <c r="C59" s="198"/>
      <c r="D59" s="206" t="s">
        <v>97</v>
      </c>
      <c r="E59" s="205"/>
      <c r="F59" s="55">
        <f>'11-25 payroll'!N24</f>
        <v>0</v>
      </c>
      <c r="G59" s="55"/>
      <c r="H59" s="209"/>
      <c r="I59" s="195"/>
      <c r="J59" s="192"/>
      <c r="K59" s="198"/>
      <c r="L59" s="206" t="s">
        <v>97</v>
      </c>
      <c r="M59" s="205"/>
      <c r="N59" s="9">
        <f>'11-25 payroll'!N25</f>
        <v>448.73</v>
      </c>
      <c r="O59" s="9"/>
      <c r="P59" s="209"/>
      <c r="Q59" s="187"/>
    </row>
    <row r="60" spans="1:22" x14ac:dyDescent="0.2">
      <c r="B60" s="192"/>
      <c r="C60" s="198"/>
      <c r="D60" s="198" t="s">
        <v>6</v>
      </c>
      <c r="E60" s="205"/>
      <c r="F60" s="55">
        <f>'11-25 payroll'!M24</f>
        <v>0</v>
      </c>
      <c r="G60" s="55"/>
      <c r="H60" s="211">
        <f>-SUM(F52:F60)</f>
        <v>-3859.33</v>
      </c>
      <c r="I60" s="195"/>
      <c r="J60" s="192"/>
      <c r="K60" s="198"/>
      <c r="L60" s="198" t="s">
        <v>6</v>
      </c>
      <c r="M60" s="205"/>
      <c r="N60" s="9">
        <f>'11-25 payroll'!M25</f>
        <v>0</v>
      </c>
      <c r="O60" s="9"/>
      <c r="P60" s="211">
        <f>-SUM(N52:N60)</f>
        <v>-2626.5650000000001</v>
      </c>
      <c r="Q60" s="187"/>
    </row>
    <row r="61" spans="1:22" ht="13.5" thickBot="1" x14ac:dyDescent="0.25">
      <c r="A61" s="174"/>
      <c r="B61" s="197" t="s">
        <v>40</v>
      </c>
      <c r="C61" s="212"/>
      <c r="D61" s="212"/>
      <c r="E61" s="212"/>
      <c r="F61" s="60"/>
      <c r="G61" s="60"/>
      <c r="H61" s="213">
        <f>SUM(H43:H60)</f>
        <v>7663.67</v>
      </c>
      <c r="I61" s="214"/>
      <c r="J61" s="197" t="s">
        <v>40</v>
      </c>
      <c r="K61" s="212"/>
      <c r="L61" s="212"/>
      <c r="M61" s="212"/>
      <c r="N61" s="12"/>
      <c r="O61" s="12"/>
      <c r="P61" s="213">
        <f>SUM(P43:P60)</f>
        <v>4933.4349999999995</v>
      </c>
      <c r="Q61" s="174"/>
      <c r="T61" s="216">
        <f>+H61-'11-25 payroll'!S37</f>
        <v>-1651.3900000000012</v>
      </c>
      <c r="V61" s="237">
        <f>+P61-'11-25 payroll'!S38</f>
        <v>-1537.3350000000009</v>
      </c>
    </row>
    <row r="62" spans="1:22" ht="13.5" thickTop="1" x14ac:dyDescent="0.2">
      <c r="B62" s="192" t="s">
        <v>41</v>
      </c>
      <c r="C62" s="198"/>
      <c r="D62" s="198"/>
      <c r="E62" s="198"/>
      <c r="F62" s="55"/>
      <c r="G62" s="55"/>
      <c r="H62" s="194"/>
      <c r="I62" s="195"/>
      <c r="J62" s="192" t="s">
        <v>41</v>
      </c>
      <c r="K62" s="198"/>
      <c r="L62" s="198"/>
      <c r="M62" s="198"/>
      <c r="N62" s="9"/>
      <c r="O62" s="9"/>
      <c r="P62" s="194"/>
      <c r="Q62" s="187"/>
    </row>
    <row r="63" spans="1:22" x14ac:dyDescent="0.2">
      <c r="B63" s="192"/>
      <c r="C63" s="198"/>
      <c r="D63" s="198"/>
      <c r="E63" s="198"/>
      <c r="F63" s="55"/>
      <c r="G63" s="55"/>
      <c r="H63" s="194"/>
      <c r="I63" s="195"/>
      <c r="J63" s="192"/>
      <c r="K63" s="198"/>
      <c r="L63" s="198"/>
      <c r="M63" s="198"/>
      <c r="N63" s="9"/>
      <c r="O63" s="9"/>
      <c r="P63" s="194"/>
      <c r="Q63" s="174"/>
    </row>
    <row r="64" spans="1:22" x14ac:dyDescent="0.2">
      <c r="B64" s="192" t="s">
        <v>42</v>
      </c>
      <c r="C64" s="198"/>
      <c r="D64" s="198"/>
      <c r="E64" s="198"/>
      <c r="F64" s="61"/>
      <c r="G64" s="61"/>
      <c r="H64" s="194"/>
      <c r="I64" s="219"/>
      <c r="J64" s="192" t="s">
        <v>42</v>
      </c>
      <c r="K64" s="198"/>
      <c r="L64" s="198"/>
      <c r="M64" s="198"/>
      <c r="N64" s="13"/>
      <c r="O64" s="13"/>
      <c r="P64" s="194"/>
      <c r="Q64" s="174"/>
    </row>
    <row r="65" spans="2:17" ht="13.5" thickBot="1" x14ac:dyDescent="0.25">
      <c r="B65" s="229"/>
      <c r="C65" s="230"/>
      <c r="D65" s="230"/>
      <c r="E65" s="230"/>
      <c r="F65" s="62"/>
      <c r="G65" s="62"/>
      <c r="H65" s="231"/>
      <c r="I65" s="223"/>
      <c r="J65" s="224"/>
      <c r="K65" s="225"/>
      <c r="L65" s="225"/>
      <c r="M65" s="225"/>
      <c r="N65" s="14"/>
      <c r="O65" s="14"/>
      <c r="P65" s="226"/>
    </row>
    <row r="66" spans="2:17" x14ac:dyDescent="0.2">
      <c r="J66" s="170"/>
      <c r="K66" s="228"/>
      <c r="L66" s="228"/>
      <c r="M66" s="228"/>
      <c r="N66" s="7"/>
      <c r="O66" s="7"/>
      <c r="P66" s="228"/>
    </row>
    <row r="67" spans="2:17" ht="13.5" thickBot="1" x14ac:dyDescent="0.25">
      <c r="B67" s="171">
        <v>5</v>
      </c>
      <c r="C67" s="172"/>
      <c r="D67" s="172"/>
      <c r="E67" s="172"/>
      <c r="F67" s="172"/>
      <c r="G67" s="172"/>
      <c r="H67" s="172"/>
      <c r="J67" s="173">
        <v>6</v>
      </c>
    </row>
    <row r="68" spans="2:17" x14ac:dyDescent="0.2">
      <c r="B68" s="440" t="str">
        <f>'11-25 payroll'!A1</f>
        <v>THE OLD SPAGHETTI HOUSE</v>
      </c>
      <c r="C68" s="441"/>
      <c r="D68" s="441"/>
      <c r="E68" s="441"/>
      <c r="F68" s="441"/>
      <c r="G68" s="441"/>
      <c r="H68" s="442"/>
      <c r="I68" s="178"/>
      <c r="J68" s="440" t="str">
        <f>'11-25 payroll'!A1</f>
        <v>THE OLD SPAGHETTI HOUSE</v>
      </c>
      <c r="K68" s="441"/>
      <c r="L68" s="441"/>
      <c r="M68" s="441"/>
      <c r="N68" s="441"/>
      <c r="O68" s="441"/>
      <c r="P68" s="442"/>
    </row>
    <row r="69" spans="2:17" x14ac:dyDescent="0.2">
      <c r="B69" s="443" t="str">
        <f>'11-25 payroll'!D2</f>
        <v>VALERO</v>
      </c>
      <c r="C69" s="444"/>
      <c r="D69" s="444"/>
      <c r="E69" s="444"/>
      <c r="F69" s="444"/>
      <c r="G69" s="444"/>
      <c r="H69" s="445"/>
      <c r="I69" s="178"/>
      <c r="J69" s="443" t="str">
        <f>'11-25 payroll'!D2</f>
        <v>VALERO</v>
      </c>
      <c r="K69" s="444"/>
      <c r="L69" s="444"/>
      <c r="M69" s="444"/>
      <c r="N69" s="444"/>
      <c r="O69" s="444"/>
      <c r="P69" s="445"/>
      <c r="Q69" s="179"/>
    </row>
    <row r="70" spans="2:17" x14ac:dyDescent="0.2">
      <c r="B70" s="183"/>
      <c r="C70" s="184"/>
      <c r="D70" s="184"/>
      <c r="E70" s="184"/>
      <c r="F70" s="54"/>
      <c r="G70" s="54"/>
      <c r="H70" s="185"/>
      <c r="I70" s="186"/>
      <c r="J70" s="183"/>
      <c r="K70" s="184"/>
      <c r="L70" s="184"/>
      <c r="M70" s="184"/>
      <c r="N70" s="8"/>
      <c r="O70" s="8"/>
      <c r="P70" s="185"/>
      <c r="Q70" s="187"/>
    </row>
    <row r="71" spans="2:17" x14ac:dyDescent="0.2">
      <c r="B71" s="446" t="s">
        <v>25</v>
      </c>
      <c r="C71" s="447"/>
      <c r="D71" s="447"/>
      <c r="E71" s="447"/>
      <c r="F71" s="447"/>
      <c r="G71" s="447"/>
      <c r="H71" s="448"/>
      <c r="I71" s="178"/>
      <c r="J71" s="446" t="s">
        <v>25</v>
      </c>
      <c r="K71" s="447"/>
      <c r="L71" s="447"/>
      <c r="M71" s="447"/>
      <c r="N71" s="447"/>
      <c r="O71" s="447"/>
      <c r="P71" s="448"/>
      <c r="Q71" s="174"/>
    </row>
    <row r="72" spans="2:17" x14ac:dyDescent="0.2">
      <c r="B72" s="183"/>
      <c r="C72" s="184"/>
      <c r="D72" s="184"/>
      <c r="E72" s="184"/>
      <c r="F72" s="54"/>
      <c r="G72" s="54"/>
      <c r="H72" s="185"/>
      <c r="I72" s="186"/>
      <c r="J72" s="183"/>
      <c r="K72" s="184"/>
      <c r="L72" s="184"/>
      <c r="M72" s="184"/>
      <c r="N72" s="8"/>
      <c r="O72" s="8"/>
      <c r="P72" s="185"/>
      <c r="Q72" s="187"/>
    </row>
    <row r="73" spans="2:17" x14ac:dyDescent="0.2">
      <c r="B73" s="192" t="s">
        <v>26</v>
      </c>
      <c r="C73" s="193" t="s">
        <v>27</v>
      </c>
      <c r="D73" s="436" t="str">
        <f>'11-25 payroll'!B11</f>
        <v>Briones, Christain Joy</v>
      </c>
      <c r="E73" s="437"/>
      <c r="F73" s="437"/>
      <c r="G73" s="55"/>
      <c r="H73" s="194"/>
      <c r="I73" s="195"/>
      <c r="J73" s="192" t="s">
        <v>26</v>
      </c>
      <c r="K73" s="193" t="s">
        <v>27</v>
      </c>
      <c r="L73" s="436">
        <f>'11-25 payroll'!B12</f>
        <v>0</v>
      </c>
      <c r="M73" s="437"/>
      <c r="N73" s="437"/>
      <c r="O73" s="9"/>
      <c r="P73" s="194"/>
    </row>
    <row r="74" spans="2:17" x14ac:dyDescent="0.2">
      <c r="B74" s="192" t="s">
        <v>28</v>
      </c>
      <c r="C74" s="193" t="s">
        <v>27</v>
      </c>
      <c r="D74" s="438">
        <f>'11-25 payroll'!E11</f>
        <v>502</v>
      </c>
      <c r="E74" s="438"/>
      <c r="F74" s="438"/>
      <c r="G74" s="55"/>
      <c r="H74" s="235"/>
      <c r="I74" s="195"/>
      <c r="J74" s="192" t="s">
        <v>28</v>
      </c>
      <c r="K74" s="193" t="s">
        <v>27</v>
      </c>
      <c r="L74" s="438">
        <f>'11-25 payroll'!E12</f>
        <v>0</v>
      </c>
      <c r="M74" s="438"/>
      <c r="N74" s="438"/>
      <c r="O74" s="9"/>
      <c r="P74" s="235"/>
    </row>
    <row r="75" spans="2:17" x14ac:dyDescent="0.2">
      <c r="B75" s="192" t="s">
        <v>29</v>
      </c>
      <c r="C75" s="193" t="s">
        <v>27</v>
      </c>
      <c r="D75" s="439" t="str">
        <f>'11-25 payroll'!D3</f>
        <v>August 11-25</v>
      </c>
      <c r="E75" s="439"/>
      <c r="F75" s="439"/>
      <c r="G75" s="55"/>
      <c r="H75" s="194"/>
      <c r="I75" s="195"/>
      <c r="J75" s="192" t="s">
        <v>29</v>
      </c>
      <c r="K75" s="193" t="s">
        <v>27</v>
      </c>
      <c r="L75" s="439" t="str">
        <f>'11-25 payroll'!D3</f>
        <v>August 11-25</v>
      </c>
      <c r="M75" s="439"/>
      <c r="N75" s="439"/>
      <c r="O75" s="9"/>
      <c r="P75" s="194"/>
      <c r="Q75" s="187"/>
    </row>
    <row r="76" spans="2:17" x14ac:dyDescent="0.2">
      <c r="B76" s="197" t="s">
        <v>16</v>
      </c>
      <c r="C76" s="198"/>
      <c r="D76" s="199"/>
      <c r="E76" s="200"/>
      <c r="F76" s="201"/>
      <c r="G76" s="55"/>
      <c r="H76" s="56">
        <f>'11-25 payroll'!G11</f>
        <v>6526</v>
      </c>
      <c r="I76" s="195"/>
      <c r="J76" s="197" t="s">
        <v>16</v>
      </c>
      <c r="K76" s="198"/>
      <c r="L76" s="199"/>
      <c r="M76" s="200"/>
      <c r="N76" s="9"/>
      <c r="O76" s="9"/>
      <c r="P76" s="10">
        <f>'11-25 payroll'!G12</f>
        <v>0</v>
      </c>
      <c r="Q76" s="174"/>
    </row>
    <row r="77" spans="2:17" x14ac:dyDescent="0.2">
      <c r="B77" s="192"/>
      <c r="C77" s="198"/>
      <c r="D77" s="200" t="s">
        <v>31</v>
      </c>
      <c r="E77" s="202">
        <f>'11-25 payroll'!F11</f>
        <v>0</v>
      </c>
      <c r="F77" s="57" t="s">
        <v>90</v>
      </c>
      <c r="G77" s="55"/>
      <c r="H77" s="58"/>
      <c r="I77" s="195"/>
      <c r="J77" s="192"/>
      <c r="K77" s="198"/>
      <c r="L77" s="200" t="s">
        <v>31</v>
      </c>
      <c r="M77" s="203">
        <f>'11-25 payroll'!F12</f>
        <v>0</v>
      </c>
      <c r="N77" s="50" t="s">
        <v>90</v>
      </c>
      <c r="O77" s="9"/>
      <c r="P77" s="10"/>
      <c r="Q77" s="174"/>
    </row>
    <row r="78" spans="2:17" x14ac:dyDescent="0.2">
      <c r="B78" s="183"/>
      <c r="C78" s="184"/>
      <c r="D78" s="184"/>
      <c r="E78" s="184"/>
      <c r="F78" s="54"/>
      <c r="G78" s="54"/>
      <c r="H78" s="185"/>
      <c r="I78" s="186"/>
      <c r="J78" s="183"/>
      <c r="K78" s="184"/>
      <c r="L78" s="184"/>
      <c r="M78" s="184"/>
      <c r="N78" s="8"/>
      <c r="O78" s="8"/>
      <c r="P78" s="185"/>
      <c r="Q78" s="187"/>
    </row>
    <row r="79" spans="2:17" x14ac:dyDescent="0.2">
      <c r="B79" s="192" t="s">
        <v>32</v>
      </c>
      <c r="C79" s="193"/>
      <c r="D79" s="204" t="s">
        <v>33</v>
      </c>
      <c r="E79" s="205"/>
      <c r="F79" s="55">
        <f>'11-25 payroll'!P11</f>
        <v>0</v>
      </c>
      <c r="G79" s="55"/>
      <c r="H79" s="58"/>
      <c r="I79" s="195"/>
      <c r="J79" s="192" t="s">
        <v>32</v>
      </c>
      <c r="K79" s="193"/>
      <c r="L79" s="204" t="s">
        <v>33</v>
      </c>
      <c r="M79" s="205"/>
      <c r="N79" s="9">
        <f>'11-25 payroll'!P12</f>
        <v>0</v>
      </c>
      <c r="O79" s="9"/>
      <c r="P79" s="10"/>
    </row>
    <row r="80" spans="2:17" x14ac:dyDescent="0.2">
      <c r="B80" s="192"/>
      <c r="C80" s="193"/>
      <c r="D80" s="204" t="s">
        <v>95</v>
      </c>
      <c r="E80" s="205"/>
      <c r="F80" s="55">
        <f>'11-25 payroll'!H11</f>
        <v>0</v>
      </c>
      <c r="G80" s="55"/>
      <c r="H80" s="58"/>
      <c r="I80" s="195"/>
      <c r="J80" s="192"/>
      <c r="K80" s="193"/>
      <c r="L80" s="204" t="s">
        <v>95</v>
      </c>
      <c r="M80" s="205"/>
      <c r="N80" s="9">
        <f>'11-25 payroll'!H12</f>
        <v>0</v>
      </c>
      <c r="O80" s="9"/>
      <c r="P80" s="10"/>
    </row>
    <row r="81" spans="1:22" x14ac:dyDescent="0.2">
      <c r="B81" s="192"/>
      <c r="C81" s="193"/>
      <c r="D81" s="204" t="s">
        <v>34</v>
      </c>
      <c r="E81" s="205"/>
      <c r="F81" s="55">
        <f>'11-25 payroll'!R11</f>
        <v>0</v>
      </c>
      <c r="G81" s="55"/>
      <c r="H81" s="58"/>
      <c r="I81" s="195"/>
      <c r="J81" s="192"/>
      <c r="K81" s="193"/>
      <c r="L81" s="204" t="s">
        <v>34</v>
      </c>
      <c r="M81" s="205"/>
      <c r="N81" s="9">
        <f>'11-25 payroll'!R12</f>
        <v>0</v>
      </c>
      <c r="O81" s="9"/>
      <c r="P81" s="10"/>
    </row>
    <row r="82" spans="1:22" x14ac:dyDescent="0.2">
      <c r="B82" s="192"/>
      <c r="C82" s="193"/>
      <c r="D82" s="204" t="s">
        <v>35</v>
      </c>
      <c r="E82" s="205"/>
      <c r="F82" s="55">
        <f>'11-25 payroll'!T11</f>
        <v>0</v>
      </c>
      <c r="G82" s="55"/>
      <c r="H82" s="58"/>
      <c r="I82" s="195"/>
      <c r="J82" s="192"/>
      <c r="K82" s="193"/>
      <c r="L82" s="204" t="s">
        <v>35</v>
      </c>
      <c r="M82" s="205"/>
      <c r="N82" s="9">
        <f>'11-25 payroll'!T12</f>
        <v>0</v>
      </c>
      <c r="O82" s="9"/>
      <c r="P82" s="10"/>
    </row>
    <row r="83" spans="1:22" x14ac:dyDescent="0.2">
      <c r="B83" s="192"/>
      <c r="C83" s="193"/>
      <c r="D83" s="204" t="s">
        <v>99</v>
      </c>
      <c r="E83" s="205"/>
      <c r="F83" s="59">
        <f>'11-25 payroll'!V11+'11-25 payroll'!W11+'11-25 payroll'!O39+'11-25 payroll'!P39+'11-25 payroll'!Q39</f>
        <v>1500</v>
      </c>
      <c r="G83" s="55"/>
      <c r="H83" s="56">
        <f>SUM(F79:F83)</f>
        <v>1500</v>
      </c>
      <c r="I83" s="195"/>
      <c r="J83" s="192"/>
      <c r="K83" s="193"/>
      <c r="L83" s="204" t="s">
        <v>99</v>
      </c>
      <c r="M83" s="205"/>
      <c r="N83" s="11">
        <f>'11-25 payroll'!V12+'11-25 payroll'!W12+'11-25 payroll'!O40+'11-25 payroll'!P40+'11-25 payroll'!Q40</f>
        <v>0</v>
      </c>
      <c r="O83" s="9"/>
      <c r="P83" s="10">
        <f>SUM(N79:N83)</f>
        <v>0</v>
      </c>
      <c r="Q83" s="187"/>
    </row>
    <row r="84" spans="1:22" x14ac:dyDescent="0.2">
      <c r="B84" s="192" t="s">
        <v>36</v>
      </c>
      <c r="C84" s="198"/>
      <c r="D84" s="198"/>
      <c r="E84" s="198"/>
      <c r="F84" s="55"/>
      <c r="G84" s="55"/>
      <c r="H84" s="58"/>
      <c r="I84" s="195"/>
      <c r="J84" s="192" t="s">
        <v>36</v>
      </c>
      <c r="K84" s="198"/>
      <c r="L84" s="198"/>
      <c r="M84" s="198"/>
      <c r="N84" s="9"/>
      <c r="O84" s="9"/>
      <c r="P84" s="10"/>
      <c r="Q84" s="174"/>
    </row>
    <row r="85" spans="1:22" x14ac:dyDescent="0.2">
      <c r="B85" s="192"/>
      <c r="C85" s="198"/>
      <c r="D85" s="206" t="s">
        <v>4</v>
      </c>
      <c r="E85" s="205"/>
      <c r="F85" s="55">
        <f>'11-25 payroll'!J26</f>
        <v>472.3</v>
      </c>
      <c r="G85" s="55"/>
      <c r="H85" s="207"/>
      <c r="I85" s="195"/>
      <c r="J85" s="192"/>
      <c r="K85" s="198"/>
      <c r="L85" s="206" t="s">
        <v>4</v>
      </c>
      <c r="M85" s="205"/>
      <c r="N85" s="9">
        <f>'11-25 payroll'!J27</f>
        <v>0</v>
      </c>
      <c r="O85" s="9"/>
      <c r="P85" s="207"/>
      <c r="Q85" s="174"/>
    </row>
    <row r="86" spans="1:22" x14ac:dyDescent="0.2">
      <c r="B86" s="192"/>
      <c r="C86" s="198"/>
      <c r="D86" s="206" t="s">
        <v>96</v>
      </c>
      <c r="E86" s="205"/>
      <c r="F86" s="55">
        <f>'11-25 payroll'!K26</f>
        <v>969.04</v>
      </c>
      <c r="G86" s="55"/>
      <c r="H86" s="207"/>
      <c r="I86" s="195"/>
      <c r="J86" s="192"/>
      <c r="K86" s="198"/>
      <c r="L86" s="206" t="s">
        <v>96</v>
      </c>
      <c r="M86" s="205"/>
      <c r="N86" s="9">
        <f>'11-25 payroll'!K27</f>
        <v>0</v>
      </c>
      <c r="O86" s="9"/>
      <c r="P86" s="207"/>
      <c r="Q86" s="174"/>
    </row>
    <row r="87" spans="1:22" x14ac:dyDescent="0.2">
      <c r="B87" s="192"/>
      <c r="C87" s="198"/>
      <c r="D87" s="206" t="s">
        <v>37</v>
      </c>
      <c r="E87" s="205"/>
      <c r="F87" s="55">
        <f>'11-25 payroll'!L26</f>
        <v>150</v>
      </c>
      <c r="G87" s="55"/>
      <c r="H87" s="207"/>
      <c r="I87" s="195"/>
      <c r="J87" s="192"/>
      <c r="K87" s="198"/>
      <c r="L87" s="206" t="s">
        <v>37</v>
      </c>
      <c r="M87" s="205"/>
      <c r="N87" s="9">
        <f>'11-25 payroll'!L27</f>
        <v>0</v>
      </c>
      <c r="O87" s="9"/>
      <c r="P87" s="207"/>
    </row>
    <row r="88" spans="1:22" x14ac:dyDescent="0.2">
      <c r="B88" s="192"/>
      <c r="C88" s="198"/>
      <c r="D88" s="206" t="s">
        <v>38</v>
      </c>
      <c r="E88" s="205"/>
      <c r="F88" s="55">
        <f>'11-25 payroll'!O26</f>
        <v>0</v>
      </c>
      <c r="G88" s="55"/>
      <c r="H88" s="207"/>
      <c r="I88" s="195"/>
      <c r="J88" s="192"/>
      <c r="K88" s="198"/>
      <c r="L88" s="206" t="s">
        <v>38</v>
      </c>
      <c r="M88" s="205"/>
      <c r="N88" s="208">
        <f>'11-25 payroll'!O27</f>
        <v>0</v>
      </c>
      <c r="O88" s="9"/>
      <c r="P88" s="207"/>
    </row>
    <row r="89" spans="1:22" x14ac:dyDescent="0.2">
      <c r="B89" s="192"/>
      <c r="C89" s="198"/>
      <c r="D89" s="206" t="s">
        <v>98</v>
      </c>
      <c r="E89" s="205"/>
      <c r="F89" s="55">
        <f>+'11-25 payroll'!F60+'11-25 payroll'!G60+'11-25 payroll'!H60+'11-25 payroll'!I60</f>
        <v>0</v>
      </c>
      <c r="G89" s="55"/>
      <c r="H89" s="207"/>
      <c r="I89" s="195"/>
      <c r="J89" s="192"/>
      <c r="K89" s="198"/>
      <c r="L89" s="206" t="s">
        <v>98</v>
      </c>
      <c r="M89" s="205"/>
      <c r="N89" s="9">
        <f>+'11-25 payroll'!F61+'11-25 payroll'!G61+'11-25 payroll'!H61+'11-25 payroll'!I61</f>
        <v>0</v>
      </c>
      <c r="O89" s="9"/>
      <c r="P89" s="207"/>
    </row>
    <row r="90" spans="1:22" x14ac:dyDescent="0.2">
      <c r="B90" s="192"/>
      <c r="C90" s="198"/>
      <c r="D90" s="198" t="s">
        <v>43</v>
      </c>
      <c r="E90" s="205"/>
      <c r="F90" s="55">
        <f>'11-25 payroll'!E60</f>
        <v>0</v>
      </c>
      <c r="G90" s="55"/>
      <c r="H90" s="207"/>
      <c r="I90" s="195"/>
      <c r="J90" s="192"/>
      <c r="K90" s="198"/>
      <c r="L90" s="198" t="s">
        <v>43</v>
      </c>
      <c r="M90" s="205"/>
      <c r="N90" s="9">
        <f>'11-25 payroll'!E61</f>
        <v>0</v>
      </c>
      <c r="O90" s="9"/>
      <c r="P90" s="207"/>
    </row>
    <row r="91" spans="1:22" x14ac:dyDescent="0.2">
      <c r="B91" s="192"/>
      <c r="C91" s="198"/>
      <c r="D91" s="206" t="s">
        <v>39</v>
      </c>
      <c r="E91" s="205"/>
      <c r="F91" s="55">
        <f>'11-25 payroll'!F26+'11-25 payroll'!H26</f>
        <v>0</v>
      </c>
      <c r="G91" s="55"/>
      <c r="H91" s="209"/>
      <c r="I91" s="195"/>
      <c r="J91" s="192"/>
      <c r="K91" s="198"/>
      <c r="L91" s="206" t="s">
        <v>39</v>
      </c>
      <c r="M91" s="205"/>
      <c r="N91" s="9">
        <f>'11-25 payroll'!F27+'11-25 payroll'!H27</f>
        <v>0</v>
      </c>
      <c r="O91" s="9"/>
      <c r="P91" s="209"/>
      <c r="Q91" s="187"/>
    </row>
    <row r="92" spans="1:22" x14ac:dyDescent="0.2">
      <c r="B92" s="192"/>
      <c r="C92" s="198"/>
      <c r="D92" s="206" t="s">
        <v>97</v>
      </c>
      <c r="E92" s="205"/>
      <c r="F92" s="55">
        <f>'11-25 payroll'!N26</f>
        <v>0</v>
      </c>
      <c r="G92" s="55"/>
      <c r="H92" s="209"/>
      <c r="I92" s="195"/>
      <c r="J92" s="192"/>
      <c r="K92" s="198"/>
      <c r="L92" s="206" t="s">
        <v>97</v>
      </c>
      <c r="M92" s="205"/>
      <c r="N92" s="9">
        <f>'11-25 payroll'!N27</f>
        <v>0</v>
      </c>
      <c r="O92" s="9"/>
      <c r="P92" s="209"/>
      <c r="Q92" s="187"/>
    </row>
    <row r="93" spans="1:22" x14ac:dyDescent="0.2">
      <c r="B93" s="192"/>
      <c r="C93" s="198"/>
      <c r="D93" s="198" t="s">
        <v>6</v>
      </c>
      <c r="E93" s="205"/>
      <c r="F93" s="55">
        <f>'11-25 payroll'!M26</f>
        <v>0</v>
      </c>
      <c r="G93" s="55"/>
      <c r="H93" s="211">
        <f>-SUM(F85:F93)</f>
        <v>-1591.34</v>
      </c>
      <c r="I93" s="195"/>
      <c r="J93" s="192"/>
      <c r="K93" s="198"/>
      <c r="L93" s="198" t="s">
        <v>6</v>
      </c>
      <c r="M93" s="205"/>
      <c r="N93" s="9">
        <f>'11-25 payroll'!M27</f>
        <v>0</v>
      </c>
      <c r="O93" s="9"/>
      <c r="P93" s="211">
        <f>-SUM(N85:N93)</f>
        <v>0</v>
      </c>
      <c r="Q93" s="187"/>
    </row>
    <row r="94" spans="1:22" ht="13.5" thickBot="1" x14ac:dyDescent="0.25">
      <c r="A94" s="174"/>
      <c r="B94" s="197" t="s">
        <v>40</v>
      </c>
      <c r="C94" s="212"/>
      <c r="D94" s="212"/>
      <c r="E94" s="212"/>
      <c r="F94" s="60"/>
      <c r="G94" s="60"/>
      <c r="H94" s="213">
        <f>SUM(H76:H93)</f>
        <v>6434.66</v>
      </c>
      <c r="I94" s="214"/>
      <c r="J94" s="197" t="s">
        <v>40</v>
      </c>
      <c r="K94" s="212"/>
      <c r="L94" s="212"/>
      <c r="M94" s="212"/>
      <c r="N94" s="12"/>
      <c r="O94" s="12"/>
      <c r="P94" s="213">
        <f>SUM(P76:P93)</f>
        <v>0</v>
      </c>
      <c r="Q94" s="174"/>
      <c r="T94" s="216">
        <f>+H94-'11-25 payroll'!S39</f>
        <v>0</v>
      </c>
      <c r="V94" s="237">
        <f>+P94-'11-25 payroll'!S40</f>
        <v>0</v>
      </c>
    </row>
    <row r="95" spans="1:22" ht="13.5" thickTop="1" x14ac:dyDescent="0.2">
      <c r="B95" s="192" t="s">
        <v>41</v>
      </c>
      <c r="C95" s="198"/>
      <c r="D95" s="198"/>
      <c r="E95" s="198"/>
      <c r="F95" s="55"/>
      <c r="G95" s="55"/>
      <c r="H95" s="194"/>
      <c r="I95" s="195"/>
      <c r="J95" s="192" t="s">
        <v>41</v>
      </c>
      <c r="K95" s="198"/>
      <c r="L95" s="198"/>
      <c r="M95" s="198"/>
      <c r="N95" s="9"/>
      <c r="O95" s="9"/>
      <c r="P95" s="194"/>
      <c r="Q95" s="187"/>
    </row>
    <row r="96" spans="1:22" x14ac:dyDescent="0.2">
      <c r="B96" s="192"/>
      <c r="C96" s="198"/>
      <c r="D96" s="198"/>
      <c r="E96" s="198"/>
      <c r="F96" s="55"/>
      <c r="G96" s="55"/>
      <c r="H96" s="194"/>
      <c r="I96" s="195"/>
      <c r="J96" s="192"/>
      <c r="K96" s="198"/>
      <c r="L96" s="198"/>
      <c r="M96" s="198"/>
      <c r="N96" s="9"/>
      <c r="O96" s="9"/>
      <c r="P96" s="194"/>
      <c r="Q96" s="174"/>
    </row>
    <row r="97" spans="2:17" x14ac:dyDescent="0.2">
      <c r="B97" s="192" t="s">
        <v>42</v>
      </c>
      <c r="C97" s="198"/>
      <c r="D97" s="198"/>
      <c r="E97" s="198"/>
      <c r="F97" s="61"/>
      <c r="G97" s="61"/>
      <c r="H97" s="194"/>
      <c r="I97" s="219"/>
      <c r="J97" s="192" t="s">
        <v>42</v>
      </c>
      <c r="K97" s="198"/>
      <c r="L97" s="198"/>
      <c r="M97" s="198"/>
      <c r="N97" s="13"/>
      <c r="O97" s="13"/>
      <c r="P97" s="194"/>
      <c r="Q97" s="174"/>
    </row>
    <row r="98" spans="2:17" ht="13.5" thickBot="1" x14ac:dyDescent="0.25">
      <c r="B98" s="229"/>
      <c r="C98" s="230"/>
      <c r="D98" s="230"/>
      <c r="E98" s="230"/>
      <c r="F98" s="62"/>
      <c r="G98" s="62"/>
      <c r="H98" s="231"/>
      <c r="I98" s="223"/>
      <c r="J98" s="224"/>
      <c r="K98" s="225"/>
      <c r="L98" s="225"/>
      <c r="M98" s="225"/>
      <c r="N98" s="14"/>
      <c r="O98" s="14"/>
      <c r="P98" s="226"/>
    </row>
    <row r="99" spans="2:17" x14ac:dyDescent="0.2">
      <c r="J99" s="170"/>
      <c r="K99" s="228"/>
      <c r="L99" s="228"/>
      <c r="M99" s="228"/>
      <c r="N99" s="7"/>
      <c r="O99" s="7"/>
      <c r="P99" s="228"/>
    </row>
    <row r="100" spans="2:17" ht="13.5" thickBot="1" x14ac:dyDescent="0.25">
      <c r="B100" s="171">
        <v>7</v>
      </c>
      <c r="C100" s="172"/>
      <c r="D100" s="172"/>
      <c r="E100" s="172"/>
      <c r="F100" s="172"/>
      <c r="G100" s="172"/>
      <c r="H100" s="172"/>
      <c r="J100" s="173">
        <v>8</v>
      </c>
    </row>
    <row r="101" spans="2:17" x14ac:dyDescent="0.2">
      <c r="B101" s="440" t="str">
        <f>'11-25 payroll'!A1</f>
        <v>THE OLD SPAGHETTI HOUSE</v>
      </c>
      <c r="C101" s="441"/>
      <c r="D101" s="441"/>
      <c r="E101" s="441"/>
      <c r="F101" s="441"/>
      <c r="G101" s="441"/>
      <c r="H101" s="442"/>
      <c r="I101" s="178"/>
      <c r="J101" s="440" t="str">
        <f>'11-25 payroll'!A1</f>
        <v>THE OLD SPAGHETTI HOUSE</v>
      </c>
      <c r="K101" s="441"/>
      <c r="L101" s="441"/>
      <c r="M101" s="441"/>
      <c r="N101" s="441"/>
      <c r="O101" s="441"/>
      <c r="P101" s="442"/>
    </row>
    <row r="102" spans="2:17" x14ac:dyDescent="0.2">
      <c r="B102" s="443" t="str">
        <f>'11-25 payroll'!D2</f>
        <v>VALERO</v>
      </c>
      <c r="C102" s="444"/>
      <c r="D102" s="444"/>
      <c r="E102" s="444"/>
      <c r="F102" s="444"/>
      <c r="G102" s="444"/>
      <c r="H102" s="445"/>
      <c r="I102" s="178"/>
      <c r="J102" s="443" t="str">
        <f>'11-25 payroll'!D2</f>
        <v>VALERO</v>
      </c>
      <c r="K102" s="444"/>
      <c r="L102" s="444"/>
      <c r="M102" s="444"/>
      <c r="N102" s="444"/>
      <c r="O102" s="444"/>
      <c r="P102" s="445"/>
      <c r="Q102" s="179"/>
    </row>
    <row r="103" spans="2:17" x14ac:dyDescent="0.2">
      <c r="B103" s="183"/>
      <c r="C103" s="184"/>
      <c r="D103" s="184"/>
      <c r="E103" s="184"/>
      <c r="F103" s="54"/>
      <c r="G103" s="54"/>
      <c r="H103" s="185"/>
      <c r="I103" s="186"/>
      <c r="J103" s="183"/>
      <c r="K103" s="184"/>
      <c r="L103" s="184"/>
      <c r="M103" s="184"/>
      <c r="N103" s="8"/>
      <c r="O103" s="8"/>
      <c r="P103" s="185"/>
      <c r="Q103" s="187"/>
    </row>
    <row r="104" spans="2:17" x14ac:dyDescent="0.2">
      <c r="B104" s="446" t="s">
        <v>25</v>
      </c>
      <c r="C104" s="447"/>
      <c r="D104" s="447"/>
      <c r="E104" s="447"/>
      <c r="F104" s="447"/>
      <c r="G104" s="447"/>
      <c r="H104" s="448"/>
      <c r="I104" s="178"/>
      <c r="J104" s="446" t="s">
        <v>25</v>
      </c>
      <c r="K104" s="447"/>
      <c r="L104" s="447"/>
      <c r="M104" s="447"/>
      <c r="N104" s="447"/>
      <c r="O104" s="447"/>
      <c r="P104" s="448"/>
      <c r="Q104" s="174"/>
    </row>
    <row r="105" spans="2:17" x14ac:dyDescent="0.2">
      <c r="B105" s="183"/>
      <c r="C105" s="184"/>
      <c r="D105" s="184"/>
      <c r="E105" s="184"/>
      <c r="F105" s="54"/>
      <c r="G105" s="54"/>
      <c r="H105" s="185"/>
      <c r="I105" s="186"/>
      <c r="J105" s="183"/>
      <c r="K105" s="184"/>
      <c r="L105" s="184"/>
      <c r="M105" s="184"/>
      <c r="N105" s="8"/>
      <c r="O105" s="8"/>
      <c r="P105" s="185"/>
      <c r="Q105" s="187"/>
    </row>
    <row r="106" spans="2:17" x14ac:dyDescent="0.2">
      <c r="B106" s="192" t="s">
        <v>26</v>
      </c>
      <c r="C106" s="193" t="s">
        <v>27</v>
      </c>
      <c r="D106" s="436">
        <f>'11-25 payroll'!B13</f>
        <v>0</v>
      </c>
      <c r="E106" s="437"/>
      <c r="F106" s="437"/>
      <c r="G106" s="55"/>
      <c r="H106" s="194"/>
      <c r="I106" s="195"/>
      <c r="J106" s="192" t="s">
        <v>26</v>
      </c>
      <c r="K106" s="193" t="s">
        <v>27</v>
      </c>
      <c r="L106" s="436">
        <f>'11-25 payroll'!B29</f>
        <v>0</v>
      </c>
      <c r="M106" s="437"/>
      <c r="N106" s="437"/>
      <c r="O106" s="9"/>
      <c r="P106" s="194"/>
    </row>
    <row r="107" spans="2:17" x14ac:dyDescent="0.2">
      <c r="B107" s="192" t="s">
        <v>28</v>
      </c>
      <c r="C107" s="193" t="s">
        <v>27</v>
      </c>
      <c r="D107" s="438">
        <f>'11-25 payroll'!E13</f>
        <v>0</v>
      </c>
      <c r="E107" s="438"/>
      <c r="F107" s="438"/>
      <c r="G107" s="55"/>
      <c r="H107" s="235"/>
      <c r="I107" s="195"/>
      <c r="J107" s="192" t="s">
        <v>28</v>
      </c>
      <c r="K107" s="193" t="s">
        <v>27</v>
      </c>
      <c r="L107" s="438">
        <f>'11-25 payroll'!E14</f>
        <v>0</v>
      </c>
      <c r="M107" s="438"/>
      <c r="N107" s="438"/>
      <c r="O107" s="9"/>
      <c r="P107" s="235"/>
    </row>
    <row r="108" spans="2:17" x14ac:dyDescent="0.2">
      <c r="B108" s="192" t="s">
        <v>29</v>
      </c>
      <c r="C108" s="193" t="s">
        <v>27</v>
      </c>
      <c r="D108" s="439" t="str">
        <f>'11-25 payroll'!D3</f>
        <v>August 11-25</v>
      </c>
      <c r="E108" s="439"/>
      <c r="F108" s="439"/>
      <c r="G108" s="55"/>
      <c r="H108" s="194"/>
      <c r="I108" s="195"/>
      <c r="J108" s="192" t="s">
        <v>29</v>
      </c>
      <c r="K108" s="193" t="s">
        <v>27</v>
      </c>
      <c r="L108" s="439" t="str">
        <f>'11-25 payroll'!D3</f>
        <v>August 11-25</v>
      </c>
      <c r="M108" s="439"/>
      <c r="N108" s="439"/>
      <c r="O108" s="9"/>
      <c r="P108" s="194"/>
      <c r="Q108" s="187"/>
    </row>
    <row r="109" spans="2:17" x14ac:dyDescent="0.2">
      <c r="B109" s="197" t="s">
        <v>16</v>
      </c>
      <c r="C109" s="198"/>
      <c r="D109" s="199"/>
      <c r="E109" s="200"/>
      <c r="F109" s="201"/>
      <c r="G109" s="55"/>
      <c r="H109" s="56">
        <f>'11-25 payroll'!G13</f>
        <v>0</v>
      </c>
      <c r="I109" s="195"/>
      <c r="J109" s="192" t="s">
        <v>30</v>
      </c>
      <c r="K109" s="198"/>
      <c r="L109" s="232"/>
      <c r="M109" s="200"/>
      <c r="N109" s="9"/>
      <c r="O109" s="9"/>
      <c r="P109" s="10">
        <f>'11-25 payroll'!G14</f>
        <v>0</v>
      </c>
      <c r="Q109" s="174"/>
    </row>
    <row r="110" spans="2:17" x14ac:dyDescent="0.2">
      <c r="B110" s="192"/>
      <c r="C110" s="198"/>
      <c r="D110" s="200" t="s">
        <v>31</v>
      </c>
      <c r="E110" s="202" t="e">
        <f>'11-25 payroll'!#REF!</f>
        <v>#REF!</v>
      </c>
      <c r="F110" s="57" t="s">
        <v>90</v>
      </c>
      <c r="G110" s="55"/>
      <c r="H110" s="58"/>
      <c r="I110" s="195"/>
      <c r="J110" s="192"/>
      <c r="K110" s="198"/>
      <c r="L110" s="200" t="s">
        <v>31</v>
      </c>
      <c r="M110" s="203" t="e">
        <f>'11-25 payroll'!#REF!</f>
        <v>#REF!</v>
      </c>
      <c r="N110" s="50" t="s">
        <v>90</v>
      </c>
      <c r="O110" s="9"/>
      <c r="P110" s="10"/>
      <c r="Q110" s="174"/>
    </row>
    <row r="111" spans="2:17" x14ac:dyDescent="0.2">
      <c r="B111" s="183"/>
      <c r="C111" s="184"/>
      <c r="D111" s="184"/>
      <c r="E111" s="184"/>
      <c r="F111" s="54"/>
      <c r="G111" s="54"/>
      <c r="H111" s="185"/>
      <c r="I111" s="186"/>
      <c r="J111" s="183"/>
      <c r="K111" s="184"/>
      <c r="L111" s="184"/>
      <c r="M111" s="184"/>
      <c r="N111" s="8"/>
      <c r="O111" s="8"/>
      <c r="P111" s="185"/>
      <c r="Q111" s="187"/>
    </row>
    <row r="112" spans="2:17" x14ac:dyDescent="0.2">
      <c r="B112" s="192" t="s">
        <v>32</v>
      </c>
      <c r="C112" s="193"/>
      <c r="D112" s="204" t="s">
        <v>33</v>
      </c>
      <c r="E112" s="205"/>
      <c r="F112" s="55">
        <f>'11-25 payroll'!P13</f>
        <v>0</v>
      </c>
      <c r="G112" s="55"/>
      <c r="H112" s="58"/>
      <c r="I112" s="195"/>
      <c r="J112" s="192" t="s">
        <v>32</v>
      </c>
      <c r="K112" s="193"/>
      <c r="L112" s="204" t="s">
        <v>33</v>
      </c>
      <c r="M112" s="205"/>
      <c r="N112" s="9">
        <f>'11-25 payroll'!P14</f>
        <v>0</v>
      </c>
      <c r="O112" s="9"/>
      <c r="P112" s="10"/>
    </row>
    <row r="113" spans="1:22" x14ac:dyDescent="0.2">
      <c r="B113" s="192"/>
      <c r="C113" s="193"/>
      <c r="D113" s="204" t="s">
        <v>95</v>
      </c>
      <c r="E113" s="205"/>
      <c r="F113" s="55">
        <f>'11-25 payroll'!H13</f>
        <v>0</v>
      </c>
      <c r="G113" s="55"/>
      <c r="H113" s="58"/>
      <c r="I113" s="195"/>
      <c r="J113" s="192"/>
      <c r="K113" s="193"/>
      <c r="L113" s="204" t="s">
        <v>95</v>
      </c>
      <c r="M113" s="205"/>
      <c r="N113" s="9">
        <f>'11-25 payroll'!H14</f>
        <v>0</v>
      </c>
      <c r="O113" s="9"/>
      <c r="P113" s="10"/>
    </row>
    <row r="114" spans="1:22" x14ac:dyDescent="0.2">
      <c r="B114" s="192"/>
      <c r="C114" s="193"/>
      <c r="D114" s="204" t="s">
        <v>34</v>
      </c>
      <c r="E114" s="205"/>
      <c r="F114" s="55">
        <f>'11-25 payroll'!R13</f>
        <v>0</v>
      </c>
      <c r="G114" s="55"/>
      <c r="H114" s="58"/>
      <c r="I114" s="195"/>
      <c r="J114" s="192"/>
      <c r="K114" s="193"/>
      <c r="L114" s="204" t="s">
        <v>34</v>
      </c>
      <c r="M114" s="205"/>
      <c r="N114" s="9">
        <f>'11-25 payroll'!R14</f>
        <v>0</v>
      </c>
      <c r="O114" s="9"/>
      <c r="P114" s="10"/>
    </row>
    <row r="115" spans="1:22" x14ac:dyDescent="0.2">
      <c r="B115" s="192"/>
      <c r="C115" s="193"/>
      <c r="D115" s="204" t="s">
        <v>35</v>
      </c>
      <c r="E115" s="205"/>
      <c r="F115" s="55">
        <f>'11-25 payroll'!T13</f>
        <v>0</v>
      </c>
      <c r="G115" s="55"/>
      <c r="H115" s="58"/>
      <c r="I115" s="195"/>
      <c r="J115" s="192"/>
      <c r="K115" s="193"/>
      <c r="L115" s="204" t="s">
        <v>35</v>
      </c>
      <c r="M115" s="205"/>
      <c r="N115" s="9">
        <f>'11-25 payroll'!T14</f>
        <v>0</v>
      </c>
      <c r="O115" s="9"/>
      <c r="P115" s="10"/>
    </row>
    <row r="116" spans="1:22" x14ac:dyDescent="0.2">
      <c r="B116" s="192"/>
      <c r="C116" s="193"/>
      <c r="D116" s="204" t="s">
        <v>99</v>
      </c>
      <c r="E116" s="205"/>
      <c r="F116" s="59">
        <f>'11-25 payroll'!V13+'11-25 payroll'!W13+'11-25 payroll'!O41+'11-25 payroll'!P41+'11-25 payroll'!Q41</f>
        <v>0</v>
      </c>
      <c r="G116" s="55"/>
      <c r="H116" s="56">
        <f>SUM(F112:F116)</f>
        <v>0</v>
      </c>
      <c r="I116" s="195"/>
      <c r="J116" s="192"/>
      <c r="K116" s="193"/>
      <c r="L116" s="204" t="s">
        <v>99</v>
      </c>
      <c r="M116" s="205"/>
      <c r="N116" s="11">
        <f>'11-25 payroll'!V14+'11-25 payroll'!W14+'11-25 payroll'!O42+'11-25 payroll'!P42+'11-25 payroll'!Q42</f>
        <v>0</v>
      </c>
      <c r="O116" s="9"/>
      <c r="P116" s="10">
        <f>SUM(N112:N116)</f>
        <v>0</v>
      </c>
      <c r="Q116" s="187"/>
    </row>
    <row r="117" spans="1:22" x14ac:dyDescent="0.2">
      <c r="B117" s="192" t="s">
        <v>36</v>
      </c>
      <c r="C117" s="198"/>
      <c r="D117" s="198"/>
      <c r="E117" s="198"/>
      <c r="F117" s="55"/>
      <c r="G117" s="55"/>
      <c r="H117" s="58"/>
      <c r="I117" s="195"/>
      <c r="J117" s="192" t="s">
        <v>36</v>
      </c>
      <c r="K117" s="198"/>
      <c r="L117" s="198"/>
      <c r="M117" s="198"/>
      <c r="N117" s="9"/>
      <c r="O117" s="9"/>
      <c r="P117" s="10"/>
      <c r="Q117" s="174"/>
    </row>
    <row r="118" spans="1:22" x14ac:dyDescent="0.2">
      <c r="B118" s="192"/>
      <c r="C118" s="198"/>
      <c r="D118" s="206" t="s">
        <v>4</v>
      </c>
      <c r="E118" s="205"/>
      <c r="F118" s="55">
        <f>'11-25 payroll'!J28</f>
        <v>0</v>
      </c>
      <c r="G118" s="55"/>
      <c r="H118" s="207"/>
      <c r="I118" s="195"/>
      <c r="J118" s="192"/>
      <c r="K118" s="198"/>
      <c r="L118" s="206" t="s">
        <v>4</v>
      </c>
      <c r="M118" s="205"/>
      <c r="N118" s="9">
        <f>'11-25 payroll'!J29</f>
        <v>0</v>
      </c>
      <c r="O118" s="9"/>
      <c r="P118" s="207"/>
      <c r="Q118" s="174"/>
    </row>
    <row r="119" spans="1:22" x14ac:dyDescent="0.2">
      <c r="B119" s="192"/>
      <c r="C119" s="198"/>
      <c r="D119" s="206" t="s">
        <v>96</v>
      </c>
      <c r="E119" s="205"/>
      <c r="F119" s="55">
        <f>'11-25 payroll'!K28</f>
        <v>0</v>
      </c>
      <c r="G119" s="55"/>
      <c r="H119" s="207"/>
      <c r="I119" s="195"/>
      <c r="J119" s="192"/>
      <c r="K119" s="198"/>
      <c r="L119" s="206" t="s">
        <v>96</v>
      </c>
      <c r="M119" s="205"/>
      <c r="N119" s="9">
        <f>'11-25 payroll'!K29</f>
        <v>0</v>
      </c>
      <c r="O119" s="9"/>
      <c r="P119" s="207"/>
      <c r="Q119" s="174"/>
    </row>
    <row r="120" spans="1:22" x14ac:dyDescent="0.2">
      <c r="B120" s="192"/>
      <c r="C120" s="198"/>
      <c r="D120" s="206" t="s">
        <v>37</v>
      </c>
      <c r="E120" s="205"/>
      <c r="F120" s="55">
        <f>'11-25 payroll'!L28</f>
        <v>0</v>
      </c>
      <c r="G120" s="55"/>
      <c r="H120" s="207"/>
      <c r="I120" s="195"/>
      <c r="J120" s="192"/>
      <c r="K120" s="198"/>
      <c r="L120" s="206" t="s">
        <v>37</v>
      </c>
      <c r="M120" s="205"/>
      <c r="N120" s="9">
        <f>'11-25 payroll'!L29</f>
        <v>0</v>
      </c>
      <c r="O120" s="9"/>
      <c r="P120" s="207"/>
    </row>
    <row r="121" spans="1:22" x14ac:dyDescent="0.2">
      <c r="B121" s="192"/>
      <c r="C121" s="198"/>
      <c r="D121" s="206" t="s">
        <v>38</v>
      </c>
      <c r="E121" s="205"/>
      <c r="F121" s="55">
        <f>'11-25 payroll'!O28</f>
        <v>0</v>
      </c>
      <c r="G121" s="55"/>
      <c r="H121" s="207"/>
      <c r="I121" s="195"/>
      <c r="J121" s="192"/>
      <c r="K121" s="198"/>
      <c r="L121" s="206" t="s">
        <v>38</v>
      </c>
      <c r="M121" s="205"/>
      <c r="N121" s="208">
        <f>'11-25 payroll'!O29</f>
        <v>0</v>
      </c>
      <c r="O121" s="9"/>
      <c r="P121" s="207"/>
    </row>
    <row r="122" spans="1:22" x14ac:dyDescent="0.2">
      <c r="B122" s="192"/>
      <c r="C122" s="198"/>
      <c r="D122" s="206" t="s">
        <v>98</v>
      </c>
      <c r="E122" s="205"/>
      <c r="F122" s="55">
        <f>+'11-25 payroll'!F62+'11-25 payroll'!G62+'11-25 payroll'!H62+'11-25 payroll'!I62</f>
        <v>0</v>
      </c>
      <c r="G122" s="55"/>
      <c r="H122" s="207"/>
      <c r="I122" s="195"/>
      <c r="J122" s="192"/>
      <c r="K122" s="198"/>
      <c r="L122" s="206" t="s">
        <v>98</v>
      </c>
      <c r="M122" s="205"/>
      <c r="N122" s="9">
        <f>+'11-25 payroll'!F63+'11-25 payroll'!G63+'11-25 payroll'!H63+'11-25 payroll'!I63</f>
        <v>0</v>
      </c>
      <c r="O122" s="9"/>
      <c r="P122" s="207"/>
    </row>
    <row r="123" spans="1:22" x14ac:dyDescent="0.2">
      <c r="B123" s="192"/>
      <c r="C123" s="198"/>
      <c r="D123" s="198" t="s">
        <v>43</v>
      </c>
      <c r="E123" s="205"/>
      <c r="F123" s="55">
        <f>'11-25 payroll'!E62</f>
        <v>0</v>
      </c>
      <c r="G123" s="55"/>
      <c r="H123" s="207"/>
      <c r="I123" s="195"/>
      <c r="J123" s="192"/>
      <c r="K123" s="198"/>
      <c r="L123" s="198" t="s">
        <v>43</v>
      </c>
      <c r="M123" s="205"/>
      <c r="N123" s="9">
        <f>'11-25 payroll'!E63</f>
        <v>0</v>
      </c>
      <c r="O123" s="9"/>
      <c r="P123" s="207"/>
    </row>
    <row r="124" spans="1:22" x14ac:dyDescent="0.2">
      <c r="B124" s="192"/>
      <c r="C124" s="198"/>
      <c r="D124" s="206" t="s">
        <v>39</v>
      </c>
      <c r="E124" s="205"/>
      <c r="F124" s="55">
        <f>'11-25 payroll'!F28+'11-25 payroll'!H28</f>
        <v>0</v>
      </c>
      <c r="G124" s="55"/>
      <c r="H124" s="209"/>
      <c r="I124" s="195"/>
      <c r="J124" s="192"/>
      <c r="K124" s="198"/>
      <c r="L124" s="206" t="s">
        <v>39</v>
      </c>
      <c r="M124" s="205"/>
      <c r="N124" s="9">
        <f>'11-25 payroll'!F29+'11-25 payroll'!H29</f>
        <v>0</v>
      </c>
      <c r="O124" s="9"/>
      <c r="P124" s="209"/>
      <c r="Q124" s="187"/>
    </row>
    <row r="125" spans="1:22" x14ac:dyDescent="0.2">
      <c r="B125" s="192"/>
      <c r="C125" s="198"/>
      <c r="D125" s="206" t="s">
        <v>97</v>
      </c>
      <c r="E125" s="205"/>
      <c r="F125" s="55">
        <f>'11-25 payroll'!N28</f>
        <v>0</v>
      </c>
      <c r="G125" s="55"/>
      <c r="H125" s="209"/>
      <c r="I125" s="195"/>
      <c r="J125" s="192"/>
      <c r="K125" s="198"/>
      <c r="L125" s="206" t="s">
        <v>97</v>
      </c>
      <c r="M125" s="205"/>
      <c r="N125" s="9">
        <f>'11-25 payroll'!N29</f>
        <v>0</v>
      </c>
      <c r="O125" s="9"/>
      <c r="P125" s="209"/>
      <c r="Q125" s="187"/>
    </row>
    <row r="126" spans="1:22" x14ac:dyDescent="0.2">
      <c r="B126" s="192"/>
      <c r="C126" s="198"/>
      <c r="D126" s="198" t="s">
        <v>6</v>
      </c>
      <c r="E126" s="205"/>
      <c r="F126" s="55">
        <f>'11-25 payroll'!M28</f>
        <v>0</v>
      </c>
      <c r="G126" s="55"/>
      <c r="H126" s="211">
        <f>-SUM(F118:F126)</f>
        <v>0</v>
      </c>
      <c r="I126" s="195"/>
      <c r="J126" s="192"/>
      <c r="K126" s="198"/>
      <c r="L126" s="198" t="s">
        <v>6</v>
      </c>
      <c r="M126" s="205"/>
      <c r="N126" s="9">
        <f>'11-25 payroll'!M29</f>
        <v>0</v>
      </c>
      <c r="O126" s="9"/>
      <c r="P126" s="211">
        <f>-SUM(N118:N126)</f>
        <v>0</v>
      </c>
      <c r="Q126" s="187"/>
    </row>
    <row r="127" spans="1:22" ht="13.5" thickBot="1" x14ac:dyDescent="0.25">
      <c r="A127" s="174"/>
      <c r="B127" s="197" t="s">
        <v>40</v>
      </c>
      <c r="C127" s="212"/>
      <c r="D127" s="212"/>
      <c r="E127" s="212"/>
      <c r="F127" s="60"/>
      <c r="G127" s="60"/>
      <c r="H127" s="213">
        <f>SUM(H109:H126)</f>
        <v>0</v>
      </c>
      <c r="I127" s="214"/>
      <c r="J127" s="197" t="s">
        <v>40</v>
      </c>
      <c r="K127" s="212"/>
      <c r="L127" s="212"/>
      <c r="M127" s="212"/>
      <c r="N127" s="12"/>
      <c r="O127" s="12"/>
      <c r="P127" s="213">
        <f>SUM(P109:P126)</f>
        <v>0</v>
      </c>
      <c r="Q127" s="174"/>
      <c r="T127" s="216">
        <f>+H127-'11-25 payroll'!S41</f>
        <v>0</v>
      </c>
      <c r="V127" s="237">
        <f>+P127-'11-25 payroll'!S42</f>
        <v>0</v>
      </c>
    </row>
    <row r="128" spans="1:22" ht="13.5" thickTop="1" x14ac:dyDescent="0.2">
      <c r="B128" s="192" t="s">
        <v>41</v>
      </c>
      <c r="C128" s="198"/>
      <c r="D128" s="198"/>
      <c r="E128" s="198"/>
      <c r="F128" s="55"/>
      <c r="G128" s="55"/>
      <c r="H128" s="194"/>
      <c r="I128" s="195"/>
      <c r="J128" s="192" t="s">
        <v>41</v>
      </c>
      <c r="K128" s="198"/>
      <c r="L128" s="198"/>
      <c r="M128" s="198"/>
      <c r="N128" s="9"/>
      <c r="O128" s="9"/>
      <c r="P128" s="194"/>
      <c r="Q128" s="187"/>
    </row>
    <row r="129" spans="2:17" x14ac:dyDescent="0.2">
      <c r="B129" s="192"/>
      <c r="C129" s="198"/>
      <c r="D129" s="198"/>
      <c r="E129" s="198"/>
      <c r="F129" s="55"/>
      <c r="G129" s="55"/>
      <c r="H129" s="194"/>
      <c r="I129" s="195"/>
      <c r="J129" s="192"/>
      <c r="K129" s="198"/>
      <c r="L129" s="198"/>
      <c r="M129" s="198"/>
      <c r="N129" s="9"/>
      <c r="O129" s="9"/>
      <c r="P129" s="194"/>
      <c r="Q129" s="174"/>
    </row>
    <row r="130" spans="2:17" x14ac:dyDescent="0.2">
      <c r="B130" s="192" t="s">
        <v>42</v>
      </c>
      <c r="C130" s="198"/>
      <c r="D130" s="198"/>
      <c r="E130" s="198"/>
      <c r="F130" s="61"/>
      <c r="G130" s="61"/>
      <c r="H130" s="194"/>
      <c r="I130" s="219"/>
      <c r="J130" s="192" t="s">
        <v>42</v>
      </c>
      <c r="K130" s="198"/>
      <c r="L130" s="198"/>
      <c r="M130" s="198"/>
      <c r="N130" s="13"/>
      <c r="O130" s="13"/>
      <c r="P130" s="194"/>
      <c r="Q130" s="174"/>
    </row>
    <row r="131" spans="2:17" ht="13.5" thickBot="1" x14ac:dyDescent="0.25">
      <c r="B131" s="229"/>
      <c r="C131" s="230"/>
      <c r="D131" s="230"/>
      <c r="E131" s="230"/>
      <c r="F131" s="62"/>
      <c r="G131" s="62"/>
      <c r="H131" s="231"/>
      <c r="I131" s="223"/>
      <c r="J131" s="224"/>
      <c r="K131" s="225"/>
      <c r="L131" s="225"/>
      <c r="M131" s="225"/>
      <c r="N131" s="14"/>
      <c r="O131" s="14"/>
      <c r="P131" s="226"/>
    </row>
    <row r="132" spans="2:17" x14ac:dyDescent="0.2">
      <c r="J132" s="170"/>
      <c r="K132" s="228"/>
      <c r="L132" s="228"/>
      <c r="M132" s="228"/>
      <c r="N132" s="7"/>
      <c r="O132" s="7"/>
      <c r="P132" s="228"/>
    </row>
    <row r="133" spans="2:17" ht="13.5" thickBot="1" x14ac:dyDescent="0.25">
      <c r="B133" s="171">
        <v>9</v>
      </c>
      <c r="C133" s="172"/>
      <c r="D133" s="172"/>
      <c r="E133" s="172"/>
      <c r="F133" s="172"/>
      <c r="G133" s="172"/>
      <c r="H133" s="172"/>
      <c r="J133" s="173">
        <v>10</v>
      </c>
    </row>
    <row r="134" spans="2:17" x14ac:dyDescent="0.2">
      <c r="B134" s="440" t="str">
        <f>'11-25 payroll'!A1</f>
        <v>THE OLD SPAGHETTI HOUSE</v>
      </c>
      <c r="C134" s="441"/>
      <c r="D134" s="441"/>
      <c r="E134" s="441"/>
      <c r="F134" s="441"/>
      <c r="G134" s="441"/>
      <c r="H134" s="442"/>
      <c r="I134" s="178"/>
      <c r="J134" s="440" t="str">
        <f>'11-25 payroll'!A1</f>
        <v>THE OLD SPAGHETTI HOUSE</v>
      </c>
      <c r="K134" s="441"/>
      <c r="L134" s="441"/>
      <c r="M134" s="441"/>
      <c r="N134" s="441"/>
      <c r="O134" s="441"/>
      <c r="P134" s="442"/>
    </row>
    <row r="135" spans="2:17" x14ac:dyDescent="0.2">
      <c r="B135" s="443" t="str">
        <f>'11-25 payroll'!D2</f>
        <v>VALERO</v>
      </c>
      <c r="C135" s="444"/>
      <c r="D135" s="444"/>
      <c r="E135" s="444"/>
      <c r="F135" s="444"/>
      <c r="G135" s="444"/>
      <c r="H135" s="445"/>
      <c r="I135" s="178"/>
      <c r="J135" s="443" t="str">
        <f>'11-25 payroll'!D2</f>
        <v>VALERO</v>
      </c>
      <c r="K135" s="444"/>
      <c r="L135" s="444"/>
      <c r="M135" s="444"/>
      <c r="N135" s="444"/>
      <c r="O135" s="444"/>
      <c r="P135" s="445"/>
      <c r="Q135" s="179"/>
    </row>
    <row r="136" spans="2:17" x14ac:dyDescent="0.2">
      <c r="B136" s="183"/>
      <c r="C136" s="184"/>
      <c r="D136" s="184"/>
      <c r="E136" s="184"/>
      <c r="F136" s="54"/>
      <c r="G136" s="54"/>
      <c r="H136" s="185"/>
      <c r="I136" s="186"/>
      <c r="J136" s="183"/>
      <c r="K136" s="184"/>
      <c r="L136" s="184"/>
      <c r="M136" s="184"/>
      <c r="N136" s="8"/>
      <c r="O136" s="8"/>
      <c r="P136" s="185"/>
      <c r="Q136" s="187"/>
    </row>
    <row r="137" spans="2:17" x14ac:dyDescent="0.2">
      <c r="B137" s="446" t="s">
        <v>25</v>
      </c>
      <c r="C137" s="447"/>
      <c r="D137" s="447"/>
      <c r="E137" s="447"/>
      <c r="F137" s="447"/>
      <c r="G137" s="447"/>
      <c r="H137" s="448"/>
      <c r="I137" s="178"/>
      <c r="J137" s="446" t="s">
        <v>25</v>
      </c>
      <c r="K137" s="447"/>
      <c r="L137" s="447"/>
      <c r="M137" s="447"/>
      <c r="N137" s="447"/>
      <c r="O137" s="447"/>
      <c r="P137" s="448"/>
      <c r="Q137" s="174"/>
    </row>
    <row r="138" spans="2:17" x14ac:dyDescent="0.2">
      <c r="B138" s="183"/>
      <c r="C138" s="184"/>
      <c r="D138" s="184"/>
      <c r="E138" s="184"/>
      <c r="F138" s="54"/>
      <c r="G138" s="54"/>
      <c r="H138" s="185"/>
      <c r="I138" s="186"/>
      <c r="J138" s="183"/>
      <c r="K138" s="184"/>
      <c r="L138" s="184"/>
      <c r="M138" s="184"/>
      <c r="N138" s="8"/>
      <c r="O138" s="8"/>
      <c r="P138" s="185"/>
      <c r="Q138" s="187"/>
    </row>
    <row r="139" spans="2:17" x14ac:dyDescent="0.2">
      <c r="B139" s="192" t="s">
        <v>26</v>
      </c>
      <c r="C139" s="193" t="s">
        <v>27</v>
      </c>
      <c r="D139" s="436">
        <f>'11-25 payroll'!B15</f>
        <v>0</v>
      </c>
      <c r="E139" s="437"/>
      <c r="F139" s="437"/>
      <c r="G139" s="55"/>
      <c r="H139" s="194"/>
      <c r="I139" s="195"/>
      <c r="J139" s="192" t="s">
        <v>26</v>
      </c>
      <c r="K139" s="193" t="s">
        <v>27</v>
      </c>
      <c r="L139" s="437">
        <f>'11-25 payroll'!C112</f>
        <v>0</v>
      </c>
      <c r="M139" s="437"/>
      <c r="N139" s="437"/>
      <c r="O139" s="9"/>
      <c r="P139" s="194"/>
    </row>
    <row r="140" spans="2:17" x14ac:dyDescent="0.2">
      <c r="B140" s="192" t="s">
        <v>28</v>
      </c>
      <c r="C140" s="193" t="s">
        <v>27</v>
      </c>
      <c r="D140" s="438">
        <f>'11-25 payroll'!E15</f>
        <v>0</v>
      </c>
      <c r="E140" s="438"/>
      <c r="F140" s="438"/>
      <c r="G140" s="55"/>
      <c r="H140" s="235"/>
      <c r="I140" s="195"/>
      <c r="J140" s="192" t="s">
        <v>28</v>
      </c>
      <c r="K140" s="193" t="s">
        <v>27</v>
      </c>
      <c r="L140" s="438">
        <f>'11-25 payroll'!E112</f>
        <v>0</v>
      </c>
      <c r="M140" s="438"/>
      <c r="N140" s="438"/>
      <c r="O140" s="9"/>
      <c r="P140" s="235"/>
    </row>
    <row r="141" spans="2:17" x14ac:dyDescent="0.2">
      <c r="B141" s="192" t="s">
        <v>29</v>
      </c>
      <c r="C141" s="193" t="s">
        <v>27</v>
      </c>
      <c r="D141" s="439" t="str">
        <f>'11-25 payroll'!D3</f>
        <v>August 11-25</v>
      </c>
      <c r="E141" s="439"/>
      <c r="F141" s="439"/>
      <c r="G141" s="55"/>
      <c r="H141" s="194"/>
      <c r="I141" s="195"/>
      <c r="J141" s="192" t="s">
        <v>29</v>
      </c>
      <c r="K141" s="193" t="s">
        <v>27</v>
      </c>
      <c r="L141" s="439">
        <f>'11-25 payroll'!D105</f>
        <v>0</v>
      </c>
      <c r="M141" s="439"/>
      <c r="N141" s="439"/>
      <c r="O141" s="9"/>
      <c r="P141" s="194"/>
      <c r="Q141" s="187"/>
    </row>
    <row r="142" spans="2:17" x14ac:dyDescent="0.2">
      <c r="B142" s="197" t="s">
        <v>16</v>
      </c>
      <c r="C142" s="198"/>
      <c r="D142" s="199"/>
      <c r="E142" s="200"/>
      <c r="F142" s="201"/>
      <c r="G142" s="55"/>
      <c r="H142" s="56">
        <f>'11-25 payroll'!G15</f>
        <v>0</v>
      </c>
      <c r="I142" s="195"/>
      <c r="J142" s="197" t="s">
        <v>16</v>
      </c>
      <c r="K142" s="198"/>
      <c r="L142" s="199">
        <f>'11-25 payroll'!D139</f>
        <v>0</v>
      </c>
      <c r="M142" s="200"/>
      <c r="N142" s="9"/>
      <c r="O142" s="9"/>
      <c r="P142" s="10">
        <f>'11-25 payroll'!G112</f>
        <v>0</v>
      </c>
      <c r="Q142" s="174"/>
    </row>
    <row r="143" spans="2:17" x14ac:dyDescent="0.2">
      <c r="B143" s="192"/>
      <c r="C143" s="198"/>
      <c r="D143" s="200" t="s">
        <v>31</v>
      </c>
      <c r="E143" s="202">
        <f>'11-25 payroll'!F111</f>
        <v>0</v>
      </c>
      <c r="F143" s="57" t="s">
        <v>90</v>
      </c>
      <c r="G143" s="55"/>
      <c r="H143" s="58"/>
      <c r="I143" s="195"/>
      <c r="J143" s="192"/>
      <c r="K143" s="198"/>
      <c r="L143" s="200" t="s">
        <v>31</v>
      </c>
      <c r="M143" s="203">
        <f>'11-25 payroll'!F112</f>
        <v>0</v>
      </c>
      <c r="N143" s="50" t="s">
        <v>90</v>
      </c>
      <c r="O143" s="9"/>
      <c r="P143" s="10"/>
      <c r="Q143" s="174"/>
    </row>
    <row r="144" spans="2:17" x14ac:dyDescent="0.2">
      <c r="B144" s="183"/>
      <c r="C144" s="184"/>
      <c r="D144" s="184"/>
      <c r="E144" s="184"/>
      <c r="F144" s="54"/>
      <c r="G144" s="54"/>
      <c r="H144" s="185"/>
      <c r="I144" s="186"/>
      <c r="J144" s="183"/>
      <c r="K144" s="184"/>
      <c r="L144" s="184"/>
      <c r="M144" s="184"/>
      <c r="N144" s="8"/>
      <c r="O144" s="8"/>
      <c r="P144" s="185"/>
      <c r="Q144" s="187"/>
    </row>
    <row r="145" spans="1:22" x14ac:dyDescent="0.2">
      <c r="B145" s="192" t="s">
        <v>32</v>
      </c>
      <c r="C145" s="193"/>
      <c r="D145" s="204" t="s">
        <v>33</v>
      </c>
      <c r="E145" s="205"/>
      <c r="F145" s="55">
        <f>'11-25 payroll'!P15</f>
        <v>0</v>
      </c>
      <c r="G145" s="55"/>
      <c r="H145" s="58"/>
      <c r="I145" s="195"/>
      <c r="J145" s="192" t="s">
        <v>32</v>
      </c>
      <c r="K145" s="193"/>
      <c r="L145" s="204" t="s">
        <v>33</v>
      </c>
      <c r="M145" s="205"/>
      <c r="N145" s="9">
        <f>'11-25 payroll'!P112</f>
        <v>0</v>
      </c>
      <c r="O145" s="9"/>
      <c r="P145" s="10"/>
    </row>
    <row r="146" spans="1:22" x14ac:dyDescent="0.2">
      <c r="B146" s="192"/>
      <c r="C146" s="193"/>
      <c r="D146" s="204" t="s">
        <v>95</v>
      </c>
      <c r="E146" s="205"/>
      <c r="F146" s="55">
        <f>'11-25 payroll'!H15</f>
        <v>0</v>
      </c>
      <c r="G146" s="55"/>
      <c r="H146" s="58"/>
      <c r="I146" s="195"/>
      <c r="J146" s="192"/>
      <c r="K146" s="193"/>
      <c r="L146" s="204" t="s">
        <v>95</v>
      </c>
      <c r="M146" s="205"/>
      <c r="N146" s="9">
        <f>'11-25 payroll'!H112</f>
        <v>0</v>
      </c>
      <c r="O146" s="9"/>
      <c r="P146" s="10"/>
    </row>
    <row r="147" spans="1:22" x14ac:dyDescent="0.2">
      <c r="B147" s="192"/>
      <c r="C147" s="193"/>
      <c r="D147" s="204" t="s">
        <v>34</v>
      </c>
      <c r="E147" s="205"/>
      <c r="F147" s="55">
        <f>'11-25 payroll'!R15</f>
        <v>0</v>
      </c>
      <c r="G147" s="55"/>
      <c r="H147" s="58"/>
      <c r="I147" s="195"/>
      <c r="J147" s="192"/>
      <c r="K147" s="193"/>
      <c r="L147" s="204" t="s">
        <v>34</v>
      </c>
      <c r="M147" s="205"/>
      <c r="N147" s="9">
        <f>'11-25 payroll'!R112</f>
        <v>0</v>
      </c>
      <c r="O147" s="9"/>
      <c r="P147" s="10"/>
    </row>
    <row r="148" spans="1:22" x14ac:dyDescent="0.2">
      <c r="B148" s="192"/>
      <c r="C148" s="193"/>
      <c r="D148" s="204" t="s">
        <v>35</v>
      </c>
      <c r="E148" s="205"/>
      <c r="F148" s="55">
        <f>'11-25 payroll'!T15</f>
        <v>0</v>
      </c>
      <c r="G148" s="55"/>
      <c r="H148" s="58"/>
      <c r="I148" s="195"/>
      <c r="J148" s="192"/>
      <c r="K148" s="193"/>
      <c r="L148" s="204" t="s">
        <v>35</v>
      </c>
      <c r="M148" s="205"/>
      <c r="N148" s="9">
        <f>'11-25 payroll'!T112</f>
        <v>0</v>
      </c>
      <c r="O148" s="9"/>
      <c r="P148" s="10"/>
    </row>
    <row r="149" spans="1:22" x14ac:dyDescent="0.2">
      <c r="B149" s="192"/>
      <c r="C149" s="193"/>
      <c r="D149" s="204" t="s">
        <v>99</v>
      </c>
      <c r="E149" s="205"/>
      <c r="F149" s="59">
        <f>'11-25 payroll'!V15+'11-25 payroll'!W15+'11-25 payroll'!O43+'11-25 payroll'!P43+'11-25 payroll'!Q43</f>
        <v>0</v>
      </c>
      <c r="G149" s="55"/>
      <c r="H149" s="56">
        <f>SUM(F145:F149)</f>
        <v>0</v>
      </c>
      <c r="I149" s="195"/>
      <c r="J149" s="192"/>
      <c r="K149" s="193"/>
      <c r="L149" s="204" t="s">
        <v>99</v>
      </c>
      <c r="M149" s="205"/>
      <c r="N149" s="11">
        <f>'11-25 payroll'!W112+'11-25 payroll'!O44+'11-25 payroll'!P44+'11-25 payroll'!Q44</f>
        <v>0</v>
      </c>
      <c r="O149" s="9"/>
      <c r="P149" s="10">
        <f>SUM(N145:N149)</f>
        <v>0</v>
      </c>
      <c r="Q149" s="187"/>
    </row>
    <row r="150" spans="1:22" x14ac:dyDescent="0.2">
      <c r="B150" s="192" t="s">
        <v>36</v>
      </c>
      <c r="C150" s="198"/>
      <c r="D150" s="198"/>
      <c r="E150" s="198"/>
      <c r="F150" s="55"/>
      <c r="G150" s="55"/>
      <c r="H150" s="58"/>
      <c r="I150" s="195"/>
      <c r="J150" s="192" t="s">
        <v>36</v>
      </c>
      <c r="K150" s="198"/>
      <c r="L150" s="198"/>
      <c r="M150" s="198"/>
      <c r="N150" s="9"/>
      <c r="O150" s="9"/>
      <c r="P150" s="10"/>
      <c r="Q150" s="174"/>
    </row>
    <row r="151" spans="1:22" x14ac:dyDescent="0.2">
      <c r="B151" s="192"/>
      <c r="C151" s="198"/>
      <c r="D151" s="206" t="s">
        <v>4</v>
      </c>
      <c r="E151" s="205"/>
      <c r="F151" s="55">
        <f>'11-25 payroll'!J30</f>
        <v>0</v>
      </c>
      <c r="G151" s="55"/>
      <c r="H151" s="207"/>
      <c r="I151" s="195"/>
      <c r="J151" s="192"/>
      <c r="K151" s="198"/>
      <c r="L151" s="206" t="s">
        <v>4</v>
      </c>
      <c r="M151" s="205"/>
      <c r="N151" s="9">
        <f>'11-25 payroll'!K127</f>
        <v>0</v>
      </c>
      <c r="O151" s="9"/>
      <c r="P151" s="207"/>
      <c r="Q151" s="174"/>
    </row>
    <row r="152" spans="1:22" x14ac:dyDescent="0.2">
      <c r="B152" s="192"/>
      <c r="C152" s="198"/>
      <c r="D152" s="206" t="s">
        <v>96</v>
      </c>
      <c r="E152" s="205"/>
      <c r="F152" s="55">
        <f>'11-25 payroll'!K30</f>
        <v>0</v>
      </c>
      <c r="G152" s="55"/>
      <c r="H152" s="207"/>
      <c r="I152" s="195"/>
      <c r="J152" s="192"/>
      <c r="K152" s="198"/>
      <c r="L152" s="206" t="s">
        <v>96</v>
      </c>
      <c r="M152" s="205"/>
      <c r="N152" s="9">
        <f>'11-25 payroll'!L127</f>
        <v>0</v>
      </c>
      <c r="O152" s="9"/>
      <c r="P152" s="207"/>
      <c r="Q152" s="174"/>
    </row>
    <row r="153" spans="1:22" x14ac:dyDescent="0.2">
      <c r="B153" s="192"/>
      <c r="C153" s="198"/>
      <c r="D153" s="206" t="s">
        <v>37</v>
      </c>
      <c r="E153" s="205"/>
      <c r="F153" s="55">
        <f>'11-25 payroll'!L30</f>
        <v>0</v>
      </c>
      <c r="G153" s="55"/>
      <c r="H153" s="207"/>
      <c r="I153" s="195"/>
      <c r="J153" s="192"/>
      <c r="K153" s="198"/>
      <c r="L153" s="206" t="s">
        <v>37</v>
      </c>
      <c r="M153" s="205"/>
      <c r="N153" s="9">
        <f>'11-25 payroll'!M127</f>
        <v>0</v>
      </c>
      <c r="O153" s="9"/>
      <c r="P153" s="207"/>
    </row>
    <row r="154" spans="1:22" x14ac:dyDescent="0.2">
      <c r="B154" s="192"/>
      <c r="C154" s="198"/>
      <c r="D154" s="206" t="s">
        <v>38</v>
      </c>
      <c r="E154" s="205"/>
      <c r="F154" s="55">
        <f>'11-25 payroll'!O30</f>
        <v>0</v>
      </c>
      <c r="G154" s="55"/>
      <c r="H154" s="207"/>
      <c r="I154" s="195"/>
      <c r="J154" s="192"/>
      <c r="K154" s="198"/>
      <c r="L154" s="206" t="s">
        <v>38</v>
      </c>
      <c r="M154" s="205"/>
      <c r="N154" s="208">
        <f>'11-25 payroll'!R127</f>
        <v>0</v>
      </c>
      <c r="O154" s="9"/>
      <c r="P154" s="207"/>
    </row>
    <row r="155" spans="1:22" x14ac:dyDescent="0.2">
      <c r="B155" s="192"/>
      <c r="C155" s="198"/>
      <c r="D155" s="206" t="s">
        <v>98</v>
      </c>
      <c r="E155" s="205"/>
      <c r="F155" s="55">
        <f>+'11-25 payroll'!F64+'11-25 payroll'!G64+'11-25 payroll'!H64+'11-25 payroll'!I64</f>
        <v>0</v>
      </c>
      <c r="G155" s="55"/>
      <c r="H155" s="207"/>
      <c r="I155" s="195"/>
      <c r="J155" s="192"/>
      <c r="K155" s="198"/>
      <c r="L155" s="206" t="s">
        <v>98</v>
      </c>
      <c r="M155" s="205"/>
      <c r="N155" s="9">
        <f>+'11-25 payroll'!F65+'11-25 payroll'!G65+'11-25 payroll'!H65+'11-25 payroll'!I65</f>
        <v>0</v>
      </c>
      <c r="O155" s="9"/>
      <c r="P155" s="207"/>
    </row>
    <row r="156" spans="1:22" x14ac:dyDescent="0.2">
      <c r="B156" s="192"/>
      <c r="C156" s="198"/>
      <c r="D156" s="198" t="s">
        <v>43</v>
      </c>
      <c r="E156" s="205"/>
      <c r="F156" s="55">
        <f>'11-25 payroll'!E64</f>
        <v>0</v>
      </c>
      <c r="G156" s="55"/>
      <c r="H156" s="207"/>
      <c r="I156" s="195"/>
      <c r="J156" s="192"/>
      <c r="K156" s="198"/>
      <c r="L156" s="198" t="s">
        <v>43</v>
      </c>
      <c r="M156" s="205"/>
      <c r="N156" s="9">
        <f>'11-25 payroll'!J127</f>
        <v>0</v>
      </c>
      <c r="O156" s="9"/>
      <c r="P156" s="207"/>
    </row>
    <row r="157" spans="1:22" x14ac:dyDescent="0.2">
      <c r="B157" s="192"/>
      <c r="C157" s="198"/>
      <c r="D157" s="206" t="s">
        <v>39</v>
      </c>
      <c r="E157" s="205"/>
      <c r="F157" s="55">
        <f>'11-25 payroll'!F30+'11-25 payroll'!H30</f>
        <v>0</v>
      </c>
      <c r="G157" s="55"/>
      <c r="H157" s="209"/>
      <c r="I157" s="195"/>
      <c r="J157" s="192"/>
      <c r="K157" s="198"/>
      <c r="L157" s="206" t="s">
        <v>39</v>
      </c>
      <c r="M157" s="205"/>
      <c r="N157" s="9">
        <f>'11-25 payroll'!F127+'11-25 payroll'!H127</f>
        <v>0</v>
      </c>
      <c r="O157" s="9"/>
      <c r="P157" s="209"/>
      <c r="Q157" s="187"/>
    </row>
    <row r="158" spans="1:22" x14ac:dyDescent="0.2">
      <c r="B158" s="192"/>
      <c r="C158" s="198"/>
      <c r="D158" s="206" t="s">
        <v>97</v>
      </c>
      <c r="E158" s="205"/>
      <c r="F158" s="55">
        <f>'11-25 payroll'!N30</f>
        <v>0</v>
      </c>
      <c r="G158" s="55"/>
      <c r="H158" s="209"/>
      <c r="I158" s="195"/>
      <c r="J158" s="192"/>
      <c r="K158" s="198"/>
      <c r="L158" s="206" t="s">
        <v>97</v>
      </c>
      <c r="M158" s="205"/>
      <c r="N158" s="9">
        <f>'11-25 payroll'!Q127</f>
        <v>0</v>
      </c>
      <c r="O158" s="9"/>
      <c r="P158" s="209"/>
      <c r="Q158" s="187"/>
    </row>
    <row r="159" spans="1:22" x14ac:dyDescent="0.2">
      <c r="B159" s="192"/>
      <c r="C159" s="198"/>
      <c r="D159" s="198" t="s">
        <v>6</v>
      </c>
      <c r="E159" s="205"/>
      <c r="F159" s="55">
        <f>'11-25 payroll'!M30</f>
        <v>0</v>
      </c>
      <c r="G159" s="55"/>
      <c r="H159" s="211">
        <f>-SUM(F151:F159)</f>
        <v>0</v>
      </c>
      <c r="I159" s="195"/>
      <c r="J159" s="192"/>
      <c r="K159" s="198"/>
      <c r="L159" s="198" t="s">
        <v>6</v>
      </c>
      <c r="M159" s="205"/>
      <c r="N159" s="9">
        <f>'11-25 payroll'!P127</f>
        <v>0</v>
      </c>
      <c r="O159" s="9"/>
      <c r="P159" s="211">
        <f>-SUM(N151:N159)</f>
        <v>0</v>
      </c>
      <c r="Q159" s="187"/>
    </row>
    <row r="160" spans="1:22" ht="13.5" thickBot="1" x14ac:dyDescent="0.25">
      <c r="A160" s="174"/>
      <c r="B160" s="197" t="s">
        <v>40</v>
      </c>
      <c r="C160" s="212"/>
      <c r="D160" s="212"/>
      <c r="E160" s="212"/>
      <c r="F160" s="60"/>
      <c r="G160" s="60"/>
      <c r="H160" s="213">
        <f>SUM(H142:H159)</f>
        <v>0</v>
      </c>
      <c r="I160" s="214"/>
      <c r="J160" s="197" t="s">
        <v>40</v>
      </c>
      <c r="K160" s="212"/>
      <c r="L160" s="212"/>
      <c r="M160" s="212"/>
      <c r="N160" s="12"/>
      <c r="O160" s="12"/>
      <c r="P160" s="213">
        <f>SUM(P142:P159)</f>
        <v>0</v>
      </c>
      <c r="Q160" s="174"/>
      <c r="T160" s="216">
        <f>+H160-'11-25 payroll'!S43</f>
        <v>0</v>
      </c>
      <c r="V160" s="237">
        <f>+P160-'11-25 payroll'!S44</f>
        <v>0</v>
      </c>
    </row>
    <row r="161" spans="2:17" ht="13.5" thickTop="1" x14ac:dyDescent="0.2">
      <c r="B161" s="192" t="s">
        <v>41</v>
      </c>
      <c r="C161" s="198"/>
      <c r="D161" s="198"/>
      <c r="E161" s="198"/>
      <c r="F161" s="55"/>
      <c r="G161" s="55"/>
      <c r="H161" s="194"/>
      <c r="I161" s="195"/>
      <c r="J161" s="192" t="s">
        <v>41</v>
      </c>
      <c r="K161" s="198"/>
      <c r="L161" s="198"/>
      <c r="M161" s="198"/>
      <c r="N161" s="9"/>
      <c r="O161" s="9"/>
      <c r="P161" s="194"/>
      <c r="Q161" s="187"/>
    </row>
    <row r="162" spans="2:17" x14ac:dyDescent="0.2">
      <c r="B162" s="192"/>
      <c r="C162" s="198"/>
      <c r="D162" s="198"/>
      <c r="E162" s="198"/>
      <c r="F162" s="55"/>
      <c r="G162" s="55"/>
      <c r="H162" s="194"/>
      <c r="I162" s="195"/>
      <c r="J162" s="192"/>
      <c r="K162" s="198"/>
      <c r="L162" s="198"/>
      <c r="M162" s="198"/>
      <c r="N162" s="9"/>
      <c r="O162" s="9"/>
      <c r="P162" s="194"/>
      <c r="Q162" s="174"/>
    </row>
    <row r="163" spans="2:17" x14ac:dyDescent="0.2">
      <c r="B163" s="192" t="s">
        <v>42</v>
      </c>
      <c r="C163" s="198"/>
      <c r="D163" s="198"/>
      <c r="E163" s="198"/>
      <c r="F163" s="61"/>
      <c r="G163" s="61"/>
      <c r="H163" s="194"/>
      <c r="I163" s="219"/>
      <c r="J163" s="192" t="s">
        <v>42</v>
      </c>
      <c r="K163" s="198"/>
      <c r="L163" s="198"/>
      <c r="M163" s="198"/>
      <c r="N163" s="13"/>
      <c r="O163" s="13"/>
      <c r="P163" s="194"/>
      <c r="Q163" s="174"/>
    </row>
    <row r="164" spans="2:17" ht="13.5" thickBot="1" x14ac:dyDescent="0.25">
      <c r="B164" s="229"/>
      <c r="C164" s="230"/>
      <c r="D164" s="230"/>
      <c r="E164" s="230"/>
      <c r="F164" s="62"/>
      <c r="G164" s="62"/>
      <c r="H164" s="231"/>
      <c r="I164" s="223"/>
      <c r="J164" s="224"/>
      <c r="K164" s="225"/>
      <c r="L164" s="225"/>
      <c r="M164" s="225"/>
      <c r="N164" s="14"/>
      <c r="O164" s="14"/>
      <c r="P164" s="226"/>
    </row>
    <row r="165" spans="2:17" x14ac:dyDescent="0.2">
      <c r="J165" s="170"/>
      <c r="K165" s="228"/>
      <c r="L165" s="228"/>
      <c r="M165" s="228"/>
      <c r="N165" s="7"/>
      <c r="O165" s="7"/>
      <c r="P165" s="228"/>
    </row>
  </sheetData>
  <sheetProtection password="A316" sheet="1" objects="1" scenarios="1"/>
  <protectedRanges>
    <protectedRange password="A316" sqref="A1:Q165" name="Payslip"/>
  </protectedRanges>
  <mergeCells count="60">
    <mergeCell ref="B2:H2"/>
    <mergeCell ref="J2:P2"/>
    <mergeCell ref="B3:H3"/>
    <mergeCell ref="J3:P3"/>
    <mergeCell ref="B5:H5"/>
    <mergeCell ref="J5:P5"/>
    <mergeCell ref="D7:F7"/>
    <mergeCell ref="L7:N7"/>
    <mergeCell ref="D8:F8"/>
    <mergeCell ref="L8:N8"/>
    <mergeCell ref="D9:F9"/>
    <mergeCell ref="L9:N9"/>
    <mergeCell ref="B35:H35"/>
    <mergeCell ref="J35:P35"/>
    <mergeCell ref="B36:H36"/>
    <mergeCell ref="J36:P36"/>
    <mergeCell ref="B38:H38"/>
    <mergeCell ref="J38:P38"/>
    <mergeCell ref="D40:F40"/>
    <mergeCell ref="L40:N40"/>
    <mergeCell ref="D41:F41"/>
    <mergeCell ref="L41:N41"/>
    <mergeCell ref="D42:F42"/>
    <mergeCell ref="L42:N42"/>
    <mergeCell ref="B68:H68"/>
    <mergeCell ref="J68:P68"/>
    <mergeCell ref="B69:H69"/>
    <mergeCell ref="J69:P69"/>
    <mergeCell ref="B71:H71"/>
    <mergeCell ref="J71:P71"/>
    <mergeCell ref="D73:F73"/>
    <mergeCell ref="L73:N73"/>
    <mergeCell ref="D74:F74"/>
    <mergeCell ref="L74:N74"/>
    <mergeCell ref="D75:F75"/>
    <mergeCell ref="L75:N75"/>
    <mergeCell ref="B101:H101"/>
    <mergeCell ref="J101:P101"/>
    <mergeCell ref="B102:H102"/>
    <mergeCell ref="J102:P102"/>
    <mergeCell ref="B104:H104"/>
    <mergeCell ref="J104:P104"/>
    <mergeCell ref="D106:F106"/>
    <mergeCell ref="L106:N106"/>
    <mergeCell ref="D107:F107"/>
    <mergeCell ref="L107:N107"/>
    <mergeCell ref="D108:F108"/>
    <mergeCell ref="L108:N108"/>
    <mergeCell ref="B134:H134"/>
    <mergeCell ref="J134:P134"/>
    <mergeCell ref="B135:H135"/>
    <mergeCell ref="J135:P135"/>
    <mergeCell ref="B137:H137"/>
    <mergeCell ref="J137:P137"/>
    <mergeCell ref="D139:F139"/>
    <mergeCell ref="L139:N139"/>
    <mergeCell ref="D140:F140"/>
    <mergeCell ref="L140:N140"/>
    <mergeCell ref="D141:F141"/>
    <mergeCell ref="L141:N141"/>
  </mergeCells>
  <printOptions horizontalCentered="1" verticalCentered="1"/>
  <pageMargins left="0.2" right="0.2" top="0.14000000000000001" bottom="0.13" header="0.12" footer="0.18"/>
  <pageSetup paperSize="5" scale="77" orientation="portrait" horizontalDpi="4294967293" verticalDpi="300" r:id="rId1"/>
  <headerFooter scaleWithDoc="0" alignWithMargins="0"/>
  <rowBreaks count="1" manualBreakCount="1">
    <brk id="99" max="16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indexed="10"/>
  </sheetPr>
  <dimension ref="A1:X57"/>
  <sheetViews>
    <sheetView topLeftCell="A11" zoomScale="85" workbookViewId="0">
      <selection activeCell="AB26" sqref="AB26"/>
    </sheetView>
  </sheetViews>
  <sheetFormatPr defaultColWidth="9.140625" defaultRowHeight="12.75" x14ac:dyDescent="0.2"/>
  <cols>
    <col min="1" max="1" width="24.5703125" style="23" customWidth="1"/>
    <col min="2" max="2" width="10.5703125" style="23" bestFit="1" customWidth="1"/>
    <col min="3" max="3" width="15.85546875" style="24" hidden="1" customWidth="1"/>
    <col min="4" max="4" width="16.28515625" style="23" hidden="1" customWidth="1"/>
    <col min="5" max="5" width="16.140625" style="24" hidden="1" customWidth="1"/>
    <col min="6" max="6" width="14.28515625" style="23" hidden="1" customWidth="1"/>
    <col min="7" max="8" width="11.7109375" style="23" customWidth="1"/>
    <col min="9" max="9" width="11.5703125" style="25" customWidth="1"/>
    <col min="10" max="10" width="10.85546875" style="25" customWidth="1"/>
    <col min="11" max="11" width="14" style="25" customWidth="1"/>
    <col min="12" max="12" width="10.5703125" style="25" bestFit="1" customWidth="1"/>
    <col min="13" max="13" width="12.28515625" style="25" bestFit="1" customWidth="1"/>
    <col min="14" max="14" width="10.5703125" style="25" bestFit="1" customWidth="1"/>
    <col min="15" max="15" width="12.28515625" style="23" bestFit="1" customWidth="1"/>
    <col min="16" max="16" width="10.7109375" style="23" customWidth="1"/>
    <col min="17" max="17" width="14" style="26" bestFit="1" customWidth="1"/>
    <col min="18" max="20" width="10.7109375" style="23" customWidth="1"/>
    <col min="21" max="21" width="10.85546875" style="25" customWidth="1"/>
    <col min="22" max="16384" width="9.140625" style="23"/>
  </cols>
  <sheetData>
    <row r="1" spans="1:21" hidden="1" x14ac:dyDescent="0.2">
      <c r="B1" s="23" t="s">
        <v>46</v>
      </c>
    </row>
    <row r="2" spans="1:21" hidden="1" x14ac:dyDescent="0.2">
      <c r="B2" s="23" t="s">
        <v>47</v>
      </c>
    </row>
    <row r="3" spans="1:21" hidden="1" x14ac:dyDescent="0.2">
      <c r="B3" s="23" t="s">
        <v>48</v>
      </c>
    </row>
    <row r="4" spans="1:21" hidden="1" x14ac:dyDescent="0.2">
      <c r="B4" s="23" t="s">
        <v>49</v>
      </c>
    </row>
    <row r="5" spans="1:21" hidden="1" x14ac:dyDescent="0.2">
      <c r="B5" s="23" t="s">
        <v>50</v>
      </c>
    </row>
    <row r="6" spans="1:21" hidden="1" x14ac:dyDescent="0.2">
      <c r="B6" s="23" t="s">
        <v>51</v>
      </c>
    </row>
    <row r="7" spans="1:21" hidden="1" x14ac:dyDescent="0.2">
      <c r="B7" s="23" t="s">
        <v>52</v>
      </c>
    </row>
    <row r="8" spans="1:21" hidden="1" x14ac:dyDescent="0.2">
      <c r="B8" s="23" t="s">
        <v>53</v>
      </c>
    </row>
    <row r="9" spans="1:21" hidden="1" x14ac:dyDescent="0.2">
      <c r="B9" s="23" t="s">
        <v>54</v>
      </c>
    </row>
    <row r="10" spans="1:21" hidden="1" x14ac:dyDescent="0.2">
      <c r="B10" s="23" t="s">
        <v>55</v>
      </c>
    </row>
    <row r="11" spans="1:21" ht="15.75" x14ac:dyDescent="0.25">
      <c r="A11" s="27" t="str">
        <f>'11-25 payroll'!D2</f>
        <v>VALERO</v>
      </c>
      <c r="B11" s="28"/>
      <c r="C11" s="29"/>
      <c r="D11" s="30"/>
      <c r="E11" s="29"/>
      <c r="F11" s="28"/>
      <c r="G11" s="28"/>
      <c r="H11" s="28"/>
      <c r="I11" s="31"/>
      <c r="J11" s="31"/>
      <c r="K11" s="31"/>
      <c r="L11" s="31"/>
      <c r="M11" s="31"/>
      <c r="N11" s="31"/>
      <c r="O11" s="28"/>
      <c r="P11" s="28"/>
      <c r="Q11" s="32"/>
    </row>
    <row r="12" spans="1:21" ht="15.75" x14ac:dyDescent="0.25">
      <c r="A12" s="28" t="s">
        <v>56</v>
      </c>
      <c r="B12" s="28"/>
      <c r="C12" s="29"/>
      <c r="D12" s="28"/>
      <c r="E12" s="29"/>
      <c r="F12" s="28"/>
      <c r="G12" s="28"/>
      <c r="H12" s="28"/>
      <c r="I12" s="31"/>
      <c r="J12" s="33" t="s">
        <v>57</v>
      </c>
      <c r="K12" s="33"/>
      <c r="L12" s="33"/>
      <c r="M12" s="33"/>
      <c r="N12" s="33"/>
      <c r="O12" s="30"/>
      <c r="P12" s="30"/>
      <c r="Q12" s="34"/>
    </row>
    <row r="13" spans="1:21" ht="15.75" x14ac:dyDescent="0.25">
      <c r="A13" s="28" t="s">
        <v>58</v>
      </c>
      <c r="B13" s="28"/>
      <c r="C13" s="29"/>
      <c r="D13" s="35" t="s">
        <v>59</v>
      </c>
      <c r="E13" s="67"/>
      <c r="F13" s="35"/>
      <c r="G13" s="35"/>
      <c r="H13" s="28"/>
      <c r="I13" s="31"/>
      <c r="J13" s="33" t="s">
        <v>60</v>
      </c>
      <c r="K13" s="33"/>
      <c r="L13" s="33"/>
      <c r="M13" s="33"/>
      <c r="N13" s="33"/>
      <c r="O13" s="30"/>
      <c r="P13" s="30"/>
      <c r="Q13" s="34"/>
    </row>
    <row r="14" spans="1:21" ht="15" x14ac:dyDescent="0.25">
      <c r="A14" s="74" t="str">
        <f>'26-10 payroll'!D3</f>
        <v>September 28-Oct 03, 2020</v>
      </c>
      <c r="J14" s="36" t="s">
        <v>61</v>
      </c>
      <c r="K14" s="36"/>
      <c r="L14" s="36"/>
      <c r="M14" s="36" t="s">
        <v>62</v>
      </c>
      <c r="N14" s="36"/>
      <c r="O14" s="37" t="s">
        <v>63</v>
      </c>
      <c r="P14" s="37"/>
      <c r="Q14" s="38" t="s">
        <v>64</v>
      </c>
    </row>
    <row r="15" spans="1:21" ht="15.75" thickBot="1" x14ac:dyDescent="0.3">
      <c r="A15" s="75" t="str">
        <f>'11-25 payroll'!D3</f>
        <v>August 11-25</v>
      </c>
      <c r="G15" s="454" t="s">
        <v>65</v>
      </c>
      <c r="H15" s="454"/>
      <c r="J15" s="455" t="s">
        <v>66</v>
      </c>
      <c r="K15" s="455"/>
      <c r="L15" s="455"/>
      <c r="M15" s="455" t="s">
        <v>67</v>
      </c>
      <c r="N15" s="455"/>
      <c r="O15" s="454" t="s">
        <v>68</v>
      </c>
      <c r="P15" s="454"/>
      <c r="Q15" s="68" t="s">
        <v>69</v>
      </c>
    </row>
    <row r="16" spans="1:21" x14ac:dyDescent="0.2">
      <c r="A16" s="39"/>
      <c r="B16" s="40"/>
      <c r="C16" s="69"/>
      <c r="D16" s="41"/>
      <c r="E16" s="69"/>
      <c r="F16" s="41"/>
      <c r="G16" s="452" t="s">
        <v>70</v>
      </c>
      <c r="H16" s="452"/>
      <c r="I16" s="70" t="s">
        <v>71</v>
      </c>
      <c r="J16" s="456" t="s">
        <v>72</v>
      </c>
      <c r="K16" s="456"/>
      <c r="L16" s="456"/>
      <c r="M16" s="456" t="s">
        <v>73</v>
      </c>
      <c r="N16" s="456"/>
      <c r="O16" s="452" t="s">
        <v>74</v>
      </c>
      <c r="P16" s="452"/>
      <c r="Q16" s="251" t="s">
        <v>75</v>
      </c>
      <c r="R16" s="451" t="s">
        <v>117</v>
      </c>
      <c r="S16" s="452"/>
      <c r="T16" s="452"/>
      <c r="U16" s="453"/>
    </row>
    <row r="17" spans="1:24" ht="13.5" thickBot="1" x14ac:dyDescent="0.25">
      <c r="A17" s="42" t="s">
        <v>76</v>
      </c>
      <c r="B17" s="43" t="s">
        <v>77</v>
      </c>
      <c r="C17" s="44" t="s">
        <v>78</v>
      </c>
      <c r="D17" s="44" t="s">
        <v>79</v>
      </c>
      <c r="E17" s="44" t="s">
        <v>80</v>
      </c>
      <c r="F17" s="44" t="s">
        <v>81</v>
      </c>
      <c r="G17" s="45" t="s">
        <v>82</v>
      </c>
      <c r="H17" s="46" t="s">
        <v>83</v>
      </c>
      <c r="I17" s="47" t="s">
        <v>84</v>
      </c>
      <c r="J17" s="47" t="s">
        <v>86</v>
      </c>
      <c r="K17" s="47" t="s">
        <v>85</v>
      </c>
      <c r="L17" s="47" t="s">
        <v>87</v>
      </c>
      <c r="M17" s="47" t="s">
        <v>86</v>
      </c>
      <c r="N17" s="47" t="s">
        <v>85</v>
      </c>
      <c r="O17" s="44" t="s">
        <v>86</v>
      </c>
      <c r="P17" s="44" t="s">
        <v>85</v>
      </c>
      <c r="Q17" s="252" t="s">
        <v>88</v>
      </c>
      <c r="R17" s="42" t="s">
        <v>4</v>
      </c>
      <c r="S17" s="44" t="s">
        <v>111</v>
      </c>
      <c r="T17" s="44" t="s">
        <v>113</v>
      </c>
      <c r="U17" s="254" t="s">
        <v>110</v>
      </c>
    </row>
    <row r="18" spans="1:24" x14ac:dyDescent="0.2">
      <c r="A18" s="76" t="str">
        <f>'11-25 payroll'!B7</f>
        <v>Biarcal, Ronald Glenn</v>
      </c>
      <c r="B18" s="77"/>
      <c r="C18" s="78"/>
      <c r="D18" s="79"/>
      <c r="E18" s="78"/>
      <c r="F18" s="78"/>
      <c r="G18" s="80">
        <f>'26-10 payroll'!R22</f>
        <v>3222</v>
      </c>
      <c r="H18" s="80">
        <f>'11-25 payroll'!R22</f>
        <v>6526</v>
      </c>
      <c r="I18" s="81">
        <f>G18+H18</f>
        <v>9748</v>
      </c>
      <c r="J18" s="82">
        <f>+'26-10 payroll'!J22+'11-25 payroll'!J22</f>
        <v>472.3</v>
      </c>
      <c r="K18" s="83">
        <f>'[1]summary of contribution'!$K$18</f>
        <v>957.7</v>
      </c>
      <c r="L18" s="83">
        <f>'[1]summary of contribution'!$L$18</f>
        <v>10</v>
      </c>
      <c r="M18" s="83">
        <f>+'26-10 payroll'!L22+'11-25 payroll'!L22</f>
        <v>150</v>
      </c>
      <c r="N18" s="83">
        <f>M18</f>
        <v>150</v>
      </c>
      <c r="O18" s="83">
        <f>+'26-10 payroll'!M22+'11-25 payroll'!M22</f>
        <v>0</v>
      </c>
      <c r="P18" s="83">
        <f>O18</f>
        <v>0</v>
      </c>
      <c r="Q18" s="253">
        <f>'26-10 payroll'!O22+'11-25 payroll'!O22</f>
        <v>0</v>
      </c>
      <c r="R18" s="255">
        <f>'26-10 payroll'!K22+'11-25 payroll'!K22</f>
        <v>699.77</v>
      </c>
      <c r="S18" s="234">
        <f>'26-10 payroll'!G56+'11-25 payroll'!H56</f>
        <v>1387.5</v>
      </c>
      <c r="T18" s="234">
        <f>+'26-10 payroll'!F56+'11-25 payroll'!G56</f>
        <v>0</v>
      </c>
      <c r="U18" s="256">
        <f>'26-10 payroll'!N22+'11-25 payroll'!N22</f>
        <v>579.26</v>
      </c>
      <c r="W18" s="48"/>
      <c r="X18" s="48"/>
    </row>
    <row r="19" spans="1:24" x14ac:dyDescent="0.2">
      <c r="A19" s="76" t="str">
        <f>'11-25 payroll'!B8</f>
        <v>Sanchez, Angelo</v>
      </c>
      <c r="B19" s="84"/>
      <c r="C19" s="78"/>
      <c r="D19" s="78"/>
      <c r="E19" s="78"/>
      <c r="F19" s="78"/>
      <c r="G19" s="80">
        <f>'26-10 payroll'!R23</f>
        <v>1611</v>
      </c>
      <c r="H19" s="80">
        <f>'11-25 payroll'!R23</f>
        <v>6526</v>
      </c>
      <c r="I19" s="81">
        <f t="shared" ref="I19:I27" si="0">G19+H19</f>
        <v>8137</v>
      </c>
      <c r="J19" s="82">
        <f>+'26-10 payroll'!J23+'11-25 payroll'!J23</f>
        <v>472.3</v>
      </c>
      <c r="K19" s="83">
        <f>'[1]summary of contribution'!$K$19</f>
        <v>957.7</v>
      </c>
      <c r="L19" s="83">
        <f>'[1]summary of contribution'!$L$19</f>
        <v>10</v>
      </c>
      <c r="M19" s="83">
        <f>+'26-10 payroll'!L23+'11-25 payroll'!L23</f>
        <v>150</v>
      </c>
      <c r="N19" s="83">
        <f t="shared" ref="N19:N27" si="1">M19</f>
        <v>150</v>
      </c>
      <c r="O19" s="83">
        <f>+'26-10 payroll'!M23+'11-25 payroll'!M23</f>
        <v>0</v>
      </c>
      <c r="P19" s="83">
        <f t="shared" ref="P19:P27" si="2">O19</f>
        <v>0</v>
      </c>
      <c r="Q19" s="253">
        <f>'26-10 payroll'!O23+'11-25 payroll'!O23</f>
        <v>0</v>
      </c>
      <c r="R19" s="255">
        <f>'26-10 payroll'!K23+'11-25 payroll'!K23</f>
        <v>0</v>
      </c>
      <c r="S19" s="234">
        <f>'26-10 payroll'!G57+'11-25 payroll'!H57</f>
        <v>0</v>
      </c>
      <c r="T19" s="234">
        <f>+'26-10 payroll'!F57+'11-25 payroll'!G57</f>
        <v>0</v>
      </c>
      <c r="U19" s="256">
        <f>'26-10 payroll'!N23+'11-25 payroll'!N23</f>
        <v>0</v>
      </c>
      <c r="W19" s="48"/>
      <c r="X19" s="48"/>
    </row>
    <row r="20" spans="1:24" x14ac:dyDescent="0.2">
      <c r="A20" s="76" t="str">
        <f>'11-25 payroll'!B9</f>
        <v>Dino, Joyce</v>
      </c>
      <c r="B20" s="77"/>
      <c r="C20" s="85"/>
      <c r="D20" s="86"/>
      <c r="E20" s="87"/>
      <c r="F20" s="86"/>
      <c r="G20" s="80">
        <f>'26-10 payroll'!R24</f>
        <v>0</v>
      </c>
      <c r="H20" s="80">
        <f>'11-25 payroll'!R24</f>
        <v>10273</v>
      </c>
      <c r="I20" s="81">
        <f t="shared" si="0"/>
        <v>10273</v>
      </c>
      <c r="J20" s="82">
        <f>+'26-10 payroll'!J24+'11-25 payroll'!J24</f>
        <v>581.29999999999995</v>
      </c>
      <c r="K20" s="83">
        <f>'[1]summary of contribution'!$K$20</f>
        <v>1178.7</v>
      </c>
      <c r="L20" s="83">
        <f>'[1]summary of contribution'!$L$20</f>
        <v>30</v>
      </c>
      <c r="M20" s="83">
        <f>+'26-10 payroll'!L24+'11-25 payroll'!L24</f>
        <v>200</v>
      </c>
      <c r="N20" s="83">
        <f t="shared" si="1"/>
        <v>200</v>
      </c>
      <c r="O20" s="83">
        <f>+'26-10 payroll'!M24+'11-25 payroll'!M24</f>
        <v>0</v>
      </c>
      <c r="P20" s="83">
        <f t="shared" si="2"/>
        <v>0</v>
      </c>
      <c r="Q20" s="253">
        <f>'26-10 payroll'!O24+'11-25 payroll'!O24</f>
        <v>0</v>
      </c>
      <c r="R20" s="255">
        <f>'26-10 payroll'!K24+'11-25 payroll'!K24</f>
        <v>1476.64</v>
      </c>
      <c r="S20" s="234">
        <f>'26-10 payroll'!G58+'11-25 payroll'!H58</f>
        <v>1601.39</v>
      </c>
      <c r="T20" s="234">
        <f>+'26-10 payroll'!F58+'11-25 payroll'!G58</f>
        <v>0</v>
      </c>
      <c r="U20" s="256">
        <f>'26-10 payroll'!N24+'11-25 payroll'!N24</f>
        <v>0</v>
      </c>
      <c r="W20" s="48"/>
      <c r="X20" s="48"/>
    </row>
    <row r="21" spans="1:24" x14ac:dyDescent="0.2">
      <c r="A21" s="76" t="str">
        <f>'11-25 payroll'!B10</f>
        <v xml:space="preserve">Sosa, Anna Marie </v>
      </c>
      <c r="B21" s="77"/>
      <c r="C21" s="88"/>
      <c r="D21" s="89"/>
      <c r="E21" s="90"/>
      <c r="F21" s="89"/>
      <c r="G21" s="80">
        <f>'26-10 payroll'!R25</f>
        <v>3222</v>
      </c>
      <c r="H21" s="80">
        <f>'11-25 payroll'!R25</f>
        <v>6526</v>
      </c>
      <c r="I21" s="81">
        <f t="shared" si="0"/>
        <v>9748</v>
      </c>
      <c r="J21" s="82">
        <f>+'26-10 payroll'!J25+'11-25 payroll'!J25</f>
        <v>490.5</v>
      </c>
      <c r="K21" s="83">
        <f>'[1]summary of contribution'!$K$21</f>
        <v>994.5</v>
      </c>
      <c r="L21" s="83">
        <f>'[1]summary of contribution'!$L$21</f>
        <v>10</v>
      </c>
      <c r="M21" s="83">
        <f>+'26-10 payroll'!L25+'11-25 payroll'!L25</f>
        <v>150</v>
      </c>
      <c r="N21" s="83">
        <f>M21</f>
        <v>150</v>
      </c>
      <c r="O21" s="83">
        <f>+'26-10 payroll'!M25+'11-25 payroll'!M25</f>
        <v>0</v>
      </c>
      <c r="P21" s="83">
        <f>O21</f>
        <v>0</v>
      </c>
      <c r="Q21" s="253">
        <f>'26-10 payroll'!O25+'11-25 payroll'!O25</f>
        <v>0</v>
      </c>
      <c r="R21" s="255">
        <f>'26-10 payroll'!K25+'11-25 payroll'!K25</f>
        <v>0</v>
      </c>
      <c r="S21" s="234">
        <f>'26-10 payroll'!G59+'11-25 payroll'!H59</f>
        <v>1537.335</v>
      </c>
      <c r="T21" s="234">
        <f>+'26-10 payroll'!F59+'11-25 payroll'!G59</f>
        <v>0</v>
      </c>
      <c r="U21" s="256">
        <f>'26-10 payroll'!N25+'11-25 payroll'!N25</f>
        <v>448.73</v>
      </c>
    </row>
    <row r="22" spans="1:24" x14ac:dyDescent="0.2">
      <c r="A22" s="76" t="str">
        <f>'11-25 payroll'!B11</f>
        <v>Briones, Christain Joy</v>
      </c>
      <c r="B22" s="77"/>
      <c r="C22" s="90"/>
      <c r="D22" s="91"/>
      <c r="E22" s="90"/>
      <c r="F22" s="92"/>
      <c r="G22" s="80">
        <f>'26-10 payroll'!R26</f>
        <v>0</v>
      </c>
      <c r="H22" s="80">
        <f>'11-25 payroll'!R26</f>
        <v>6526</v>
      </c>
      <c r="I22" s="81">
        <f t="shared" si="0"/>
        <v>6526</v>
      </c>
      <c r="J22" s="82">
        <f>+'26-10 payroll'!J26+'11-25 payroll'!J26</f>
        <v>472.3</v>
      </c>
      <c r="K22" s="83">
        <f>'[1]summary of contribution'!$K$22</f>
        <v>957.7</v>
      </c>
      <c r="L22" s="83">
        <f>'[1]summary of contribution'!$L$22</f>
        <v>10</v>
      </c>
      <c r="M22" s="83">
        <f>+'26-10 payroll'!L26+'11-25 payroll'!L26</f>
        <v>150</v>
      </c>
      <c r="N22" s="83">
        <f>M22</f>
        <v>150</v>
      </c>
      <c r="O22" s="83">
        <f>+'26-10 payroll'!M26+'11-25 payroll'!M26</f>
        <v>0</v>
      </c>
      <c r="P22" s="83">
        <f>O22</f>
        <v>0</v>
      </c>
      <c r="Q22" s="253">
        <f>'26-10 payroll'!O26+'11-25 payroll'!O26</f>
        <v>0</v>
      </c>
      <c r="R22" s="255">
        <f>'26-10 payroll'!K26+'11-25 payroll'!K26</f>
        <v>969.04</v>
      </c>
      <c r="S22" s="234">
        <f>'26-10 payroll'!G60+'11-25 payroll'!H60</f>
        <v>0</v>
      </c>
      <c r="T22" s="234">
        <f>+'26-10 payroll'!F60+'11-25 payroll'!G60</f>
        <v>0</v>
      </c>
      <c r="U22" s="256">
        <f>'26-10 payroll'!N26+'11-25 payroll'!N26</f>
        <v>0</v>
      </c>
    </row>
    <row r="23" spans="1:24" x14ac:dyDescent="0.2">
      <c r="A23" s="76">
        <f>'11-25 payroll'!B12</f>
        <v>0</v>
      </c>
      <c r="B23" s="77"/>
      <c r="C23" s="90"/>
      <c r="D23" s="91"/>
      <c r="E23" s="90"/>
      <c r="F23" s="92"/>
      <c r="G23" s="80">
        <f>'26-10 payroll'!R27</f>
        <v>1611</v>
      </c>
      <c r="H23" s="80">
        <f>'11-25 payroll'!R27</f>
        <v>0</v>
      </c>
      <c r="I23" s="93">
        <f t="shared" si="0"/>
        <v>1611</v>
      </c>
      <c r="J23" s="82">
        <f>+'26-10 payroll'!J27+'11-25 payroll'!J27</f>
        <v>0</v>
      </c>
      <c r="K23" s="83">
        <f>'[1]summary of contribution'!$K$23</f>
        <v>0</v>
      </c>
      <c r="L23" s="83">
        <f>'[1]summary of contribution'!$L$23</f>
        <v>0</v>
      </c>
      <c r="M23" s="83">
        <f>+'26-10 payroll'!L27+'11-25 payroll'!L27</f>
        <v>0</v>
      </c>
      <c r="N23" s="83">
        <f>M23</f>
        <v>0</v>
      </c>
      <c r="O23" s="83">
        <f>+'26-10 payroll'!M27+'11-25 payroll'!M27</f>
        <v>0</v>
      </c>
      <c r="P23" s="83">
        <f>O23</f>
        <v>0</v>
      </c>
      <c r="Q23" s="253">
        <f>'26-10 payroll'!O27+'11-25 payroll'!O27</f>
        <v>0</v>
      </c>
      <c r="R23" s="255">
        <f>'26-10 payroll'!K27+'11-25 payroll'!K27</f>
        <v>0</v>
      </c>
      <c r="S23" s="234">
        <f>'26-10 payroll'!G61+'11-25 payroll'!H61</f>
        <v>0</v>
      </c>
      <c r="T23" s="234">
        <f>+'26-10 payroll'!F61+'11-25 payroll'!G61</f>
        <v>0</v>
      </c>
      <c r="U23" s="256">
        <f>'26-10 payroll'!N27+'11-25 payroll'!N27</f>
        <v>0</v>
      </c>
    </row>
    <row r="24" spans="1:24" x14ac:dyDescent="0.2">
      <c r="A24" s="76">
        <f>'11-25 payroll'!B13</f>
        <v>0</v>
      </c>
      <c r="B24" s="77"/>
      <c r="C24" s="88"/>
      <c r="D24" s="89"/>
      <c r="E24" s="90"/>
      <c r="F24" s="89"/>
      <c r="G24" s="80">
        <f>'26-10 payroll'!R28</f>
        <v>0</v>
      </c>
      <c r="H24" s="80">
        <f>'11-25 payroll'!R28</f>
        <v>0</v>
      </c>
      <c r="I24" s="81">
        <f t="shared" si="0"/>
        <v>0</v>
      </c>
      <c r="J24" s="82">
        <f>+'26-10 payroll'!J28+'11-25 payroll'!J28</f>
        <v>0</v>
      </c>
      <c r="K24" s="83">
        <f>'[1]summary of contribution'!$K$24</f>
        <v>0</v>
      </c>
      <c r="L24" s="83">
        <f>'[1]summary of contribution'!$L$24</f>
        <v>0</v>
      </c>
      <c r="M24" s="83">
        <f>+'26-10 payroll'!L28+'11-25 payroll'!L28</f>
        <v>0</v>
      </c>
      <c r="N24" s="83">
        <f t="shared" si="1"/>
        <v>0</v>
      </c>
      <c r="O24" s="83">
        <f>+'26-10 payroll'!M28+'11-25 payroll'!M28</f>
        <v>0</v>
      </c>
      <c r="P24" s="83">
        <f t="shared" si="2"/>
        <v>0</v>
      </c>
      <c r="Q24" s="253">
        <f>'26-10 payroll'!O28+'11-25 payroll'!O28</f>
        <v>0</v>
      </c>
      <c r="R24" s="255">
        <f>'26-10 payroll'!K28+'11-25 payroll'!K28</f>
        <v>0</v>
      </c>
      <c r="S24" s="234">
        <f>'26-10 payroll'!G62+'11-25 payroll'!H62</f>
        <v>0</v>
      </c>
      <c r="T24" s="234">
        <f>+'26-10 payroll'!F62+'11-25 payroll'!G62</f>
        <v>0</v>
      </c>
      <c r="U24" s="256">
        <f>'26-10 payroll'!N28+'11-25 payroll'!N28</f>
        <v>0</v>
      </c>
    </row>
    <row r="25" spans="1:24" x14ac:dyDescent="0.2">
      <c r="A25" s="76">
        <f>'11-25 payroll'!B14</f>
        <v>0</v>
      </c>
      <c r="B25" s="77"/>
      <c r="C25" s="90"/>
      <c r="D25" s="91"/>
      <c r="E25" s="90"/>
      <c r="F25" s="92"/>
      <c r="G25" s="80">
        <f>'26-10 payroll'!R29</f>
        <v>3222</v>
      </c>
      <c r="H25" s="80">
        <f>'11-25 payroll'!R29</f>
        <v>0</v>
      </c>
      <c r="I25" s="81">
        <f t="shared" si="0"/>
        <v>3222</v>
      </c>
      <c r="J25" s="82">
        <f>+'26-10 payroll'!J29+'11-25 payroll'!J29</f>
        <v>0</v>
      </c>
      <c r="K25" s="83">
        <f>'[1]summary of contribution'!$K$25</f>
        <v>0</v>
      </c>
      <c r="L25" s="83">
        <f>'[1]summary of contribution'!$L$25</f>
        <v>0</v>
      </c>
      <c r="M25" s="83">
        <f>+'26-10 payroll'!L29+'11-25 payroll'!L29</f>
        <v>0</v>
      </c>
      <c r="N25" s="83">
        <f t="shared" si="1"/>
        <v>0</v>
      </c>
      <c r="O25" s="83">
        <f>+'26-10 payroll'!M29+'11-25 payroll'!M29</f>
        <v>0</v>
      </c>
      <c r="P25" s="83">
        <f t="shared" si="2"/>
        <v>0</v>
      </c>
      <c r="Q25" s="253">
        <f>'26-10 payroll'!O29+'11-25 payroll'!O29</f>
        <v>0</v>
      </c>
      <c r="R25" s="255">
        <f>'26-10 payroll'!K29+'11-25 payroll'!K29</f>
        <v>0</v>
      </c>
      <c r="S25" s="234">
        <f>'26-10 payroll'!G63+'11-25 payroll'!H63</f>
        <v>0</v>
      </c>
      <c r="T25" s="234">
        <f>+'26-10 payroll'!F63+'11-25 payroll'!G63</f>
        <v>0</v>
      </c>
      <c r="U25" s="256">
        <f>'26-10 payroll'!N29+'11-25 payroll'!N29</f>
        <v>0</v>
      </c>
    </row>
    <row r="26" spans="1:24" x14ac:dyDescent="0.2">
      <c r="A26" s="76">
        <f>'11-25 payroll'!B15</f>
        <v>0</v>
      </c>
      <c r="B26" s="77"/>
      <c r="C26" s="90"/>
      <c r="D26" s="91"/>
      <c r="E26" s="90"/>
      <c r="F26" s="92"/>
      <c r="G26" s="80">
        <f>'26-10 payroll'!R30</f>
        <v>1611</v>
      </c>
      <c r="H26" s="80">
        <f>'11-25 payroll'!R30</f>
        <v>0</v>
      </c>
      <c r="I26" s="93">
        <f t="shared" si="0"/>
        <v>1611</v>
      </c>
      <c r="J26" s="82">
        <f>+'26-10 payroll'!J30+'11-25 payroll'!J30</f>
        <v>0</v>
      </c>
      <c r="K26" s="83">
        <f>'[1]summary of contribution'!$K$26</f>
        <v>0</v>
      </c>
      <c r="L26" s="83">
        <f>'[1]summary of contribution'!$L$26</f>
        <v>0</v>
      </c>
      <c r="M26" s="83">
        <f>+'26-10 payroll'!L30+'11-25 payroll'!L30</f>
        <v>0</v>
      </c>
      <c r="N26" s="83">
        <f t="shared" si="1"/>
        <v>0</v>
      </c>
      <c r="O26" s="83">
        <f>+'26-10 payroll'!M30+'11-25 payroll'!M30</f>
        <v>0</v>
      </c>
      <c r="P26" s="83">
        <f t="shared" si="2"/>
        <v>0</v>
      </c>
      <c r="Q26" s="253">
        <f>'26-10 payroll'!O30+'11-25 payroll'!O30</f>
        <v>0</v>
      </c>
      <c r="R26" s="255">
        <f>'26-10 payroll'!K30+'11-25 payroll'!K30</f>
        <v>0</v>
      </c>
      <c r="S26" s="234">
        <f>'26-10 payroll'!G64+'11-25 payroll'!H64</f>
        <v>0</v>
      </c>
      <c r="T26" s="234">
        <f>+'26-10 payroll'!F64+'11-25 payroll'!G64</f>
        <v>0</v>
      </c>
      <c r="U26" s="256">
        <f>'26-10 payroll'!N30+'11-25 payroll'!N30</f>
        <v>0</v>
      </c>
    </row>
    <row r="27" spans="1:24" x14ac:dyDescent="0.2">
      <c r="A27" s="76">
        <f>'11-25 payroll'!B16</f>
        <v>0</v>
      </c>
      <c r="B27" s="77"/>
      <c r="C27" s="90"/>
      <c r="D27" s="91"/>
      <c r="E27" s="90"/>
      <c r="F27" s="92"/>
      <c r="G27" s="80">
        <f>'26-10 payroll'!R31</f>
        <v>0</v>
      </c>
      <c r="H27" s="80">
        <f>'11-25 payroll'!R31</f>
        <v>0</v>
      </c>
      <c r="I27" s="93">
        <f t="shared" si="0"/>
        <v>0</v>
      </c>
      <c r="J27" s="82">
        <f>+'26-10 payroll'!J31+'11-25 payroll'!J31</f>
        <v>0</v>
      </c>
      <c r="K27" s="83">
        <f>'[1]summary of contribution'!$K$27</f>
        <v>0</v>
      </c>
      <c r="L27" s="83">
        <f>'[1]summary of contribution'!$L$27</f>
        <v>0</v>
      </c>
      <c r="M27" s="83">
        <f>+'26-10 payroll'!L31+'11-25 payroll'!L31</f>
        <v>0</v>
      </c>
      <c r="N27" s="83">
        <f t="shared" si="1"/>
        <v>0</v>
      </c>
      <c r="O27" s="83">
        <f>+'26-10 payroll'!M31+'11-25 payroll'!M31</f>
        <v>0</v>
      </c>
      <c r="P27" s="83">
        <f t="shared" si="2"/>
        <v>0</v>
      </c>
      <c r="Q27" s="253">
        <f>'26-10 payroll'!O31+'11-25 payroll'!O31</f>
        <v>0</v>
      </c>
      <c r="R27" s="255">
        <f>'26-10 payroll'!K31+'11-25 payroll'!K31</f>
        <v>0</v>
      </c>
      <c r="S27" s="234">
        <f>'26-10 payroll'!G65+'11-25 payroll'!H65</f>
        <v>0</v>
      </c>
      <c r="T27" s="234">
        <f>+'26-10 payroll'!F65+'11-25 payroll'!G65</f>
        <v>0</v>
      </c>
      <c r="U27" s="256">
        <f>'26-10 payroll'!N31+'11-25 payroll'!N31</f>
        <v>0</v>
      </c>
    </row>
    <row r="28" spans="1:24" ht="13.5" thickBot="1" x14ac:dyDescent="0.25">
      <c r="A28" s="94"/>
      <c r="B28" s="95"/>
      <c r="C28" s="96"/>
      <c r="D28" s="97"/>
      <c r="E28" s="96"/>
      <c r="F28" s="98"/>
      <c r="G28" s="99"/>
      <c r="H28" s="97"/>
      <c r="I28" s="93"/>
      <c r="J28" s="83"/>
      <c r="K28" s="83"/>
      <c r="L28" s="83"/>
      <c r="M28" s="83"/>
      <c r="N28" s="83"/>
      <c r="O28" s="83"/>
      <c r="P28" s="83"/>
      <c r="Q28" s="253"/>
      <c r="R28" s="257"/>
      <c r="S28" s="83"/>
      <c r="T28" s="83"/>
      <c r="U28" s="258"/>
    </row>
    <row r="29" spans="1:24" ht="13.5" thickBot="1" x14ac:dyDescent="0.25">
      <c r="A29" s="100" t="s">
        <v>3</v>
      </c>
      <c r="B29" s="101"/>
      <c r="C29" s="102"/>
      <c r="D29" s="103"/>
      <c r="E29" s="102"/>
      <c r="F29" s="104"/>
      <c r="G29" s="103">
        <f>SUM(G18:G27)</f>
        <v>14499</v>
      </c>
      <c r="H29" s="103">
        <f t="shared" ref="H29:O29" si="3">SUM(H18:H27)</f>
        <v>36377</v>
      </c>
      <c r="I29" s="103">
        <f t="shared" si="3"/>
        <v>50876</v>
      </c>
      <c r="J29" s="103">
        <f t="shared" si="3"/>
        <v>2488.7000000000003</v>
      </c>
      <c r="K29" s="103">
        <f t="shared" si="3"/>
        <v>5046.3</v>
      </c>
      <c r="L29" s="103">
        <f t="shared" si="3"/>
        <v>70</v>
      </c>
      <c r="M29" s="103">
        <f t="shared" si="3"/>
        <v>800</v>
      </c>
      <c r="N29" s="103">
        <f t="shared" si="3"/>
        <v>800</v>
      </c>
      <c r="O29" s="103">
        <f t="shared" si="3"/>
        <v>0</v>
      </c>
      <c r="P29" s="103">
        <f t="shared" ref="P29:U29" si="4">SUM(P18:P27)</f>
        <v>0</v>
      </c>
      <c r="Q29" s="259">
        <f t="shared" si="4"/>
        <v>0</v>
      </c>
      <c r="R29" s="100">
        <f t="shared" si="4"/>
        <v>3145.45</v>
      </c>
      <c r="S29" s="103">
        <f t="shared" si="4"/>
        <v>4526.2250000000004</v>
      </c>
      <c r="T29" s="103">
        <f t="shared" si="4"/>
        <v>0</v>
      </c>
      <c r="U29" s="260">
        <f t="shared" si="4"/>
        <v>1027.99</v>
      </c>
    </row>
    <row r="30" spans="1:24" x14ac:dyDescent="0.2">
      <c r="A30" s="105"/>
      <c r="B30" s="105"/>
      <c r="C30" s="106"/>
      <c r="D30" s="105"/>
      <c r="E30" s="106"/>
      <c r="F30" s="105"/>
      <c r="G30" s="107"/>
      <c r="H30" s="105"/>
      <c r="I30" s="108"/>
      <c r="J30" s="109"/>
      <c r="K30" s="109"/>
      <c r="L30" s="109"/>
      <c r="M30" s="109"/>
      <c r="N30" s="109"/>
      <c r="O30" s="105"/>
      <c r="P30" s="105"/>
      <c r="Q30" s="110"/>
    </row>
    <row r="31" spans="1:24" s="65" customFormat="1" ht="15.75" x14ac:dyDescent="0.25">
      <c r="A31" s="111" t="s">
        <v>89</v>
      </c>
      <c r="B31" s="111"/>
      <c r="C31" s="112"/>
      <c r="D31" s="111"/>
      <c r="E31" s="112"/>
      <c r="F31" s="111"/>
      <c r="G31" s="113"/>
      <c r="H31" s="113"/>
      <c r="I31" s="114"/>
      <c r="J31" s="113"/>
      <c r="K31" s="115">
        <f>J29+K29+L29</f>
        <v>7605</v>
      </c>
      <c r="L31" s="115"/>
      <c r="M31" s="115">
        <f>M29+N29</f>
        <v>1600</v>
      </c>
      <c r="N31" s="115"/>
      <c r="O31" s="116">
        <f>O29+P29</f>
        <v>0</v>
      </c>
      <c r="P31" s="111"/>
      <c r="Q31" s="117">
        <f>Q29</f>
        <v>0</v>
      </c>
      <c r="U31" s="66"/>
    </row>
    <row r="32" spans="1:24" s="63" customFormat="1" x14ac:dyDescent="0.2">
      <c r="A32" s="118"/>
      <c r="B32" s="118"/>
      <c r="C32" s="119"/>
      <c r="D32" s="118"/>
      <c r="E32" s="119"/>
      <c r="F32" s="118"/>
      <c r="G32" s="118"/>
      <c r="H32" s="118"/>
      <c r="I32" s="120"/>
      <c r="J32" s="120"/>
      <c r="K32" s="120"/>
      <c r="L32" s="120"/>
      <c r="M32" s="120"/>
      <c r="N32" s="120"/>
      <c r="O32" s="118"/>
      <c r="P32" s="118"/>
      <c r="Q32" s="121"/>
      <c r="U32" s="64"/>
    </row>
    <row r="33" spans="1:22" s="261" customFormat="1" ht="38.25" x14ac:dyDescent="0.2">
      <c r="B33" s="261" t="s">
        <v>127</v>
      </c>
      <c r="G33" s="261" t="s">
        <v>128</v>
      </c>
      <c r="H33" s="261" t="s">
        <v>129</v>
      </c>
      <c r="I33" s="261" t="s">
        <v>130</v>
      </c>
      <c r="J33" s="262" t="s">
        <v>124</v>
      </c>
      <c r="K33" s="262" t="s">
        <v>125</v>
      </c>
      <c r="L33" s="262" t="s">
        <v>19</v>
      </c>
      <c r="M33" s="262" t="s">
        <v>20</v>
      </c>
      <c r="N33" s="262" t="s">
        <v>131</v>
      </c>
      <c r="O33" s="261" t="s">
        <v>105</v>
      </c>
      <c r="P33" s="262" t="s">
        <v>132</v>
      </c>
      <c r="R33" s="262"/>
      <c r="V33" s="262"/>
    </row>
    <row r="34" spans="1:22" s="105" customFormat="1" x14ac:dyDescent="0.2">
      <c r="A34" s="263" t="str">
        <f>+'26-10 payroll'!B9</f>
        <v>Dino, Joyce</v>
      </c>
      <c r="B34" s="263">
        <f>+'26-10 payroll'!G9+'11-25 payroll'!G9</f>
        <v>10273</v>
      </c>
      <c r="C34" s="106"/>
      <c r="E34" s="106"/>
      <c r="G34" s="263">
        <f>+'26-10 payroll'!I9+'11-25 payroll'!I9</f>
        <v>50</v>
      </c>
      <c r="H34" s="263">
        <f>+'26-10 payroll'!H9+'11-25 payroll'!H9</f>
        <v>0</v>
      </c>
      <c r="I34" s="263">
        <f>+'26-10 payroll'!P9+'11-25 payroll'!P9</f>
        <v>0</v>
      </c>
      <c r="J34" s="109">
        <f>+'26-10 payroll'!R9+'11-25 payroll'!R9</f>
        <v>0</v>
      </c>
      <c r="K34" s="109">
        <f>+'26-10 payroll'!T9+'11-25 payroll'!T9</f>
        <v>0</v>
      </c>
      <c r="L34" s="109">
        <f>+'26-10 payroll'!V9+'11-25 payroll'!V9</f>
        <v>0</v>
      </c>
      <c r="M34" s="109">
        <f>+'26-10 payroll'!W9+'11-25 payroll'!W9</f>
        <v>0</v>
      </c>
      <c r="N34" s="109">
        <f>+'26-10 payroll'!F24+'26-10 payroll'!H24+'11-25 payroll'!F24+'11-25 payroll'!H24</f>
        <v>0</v>
      </c>
      <c r="O34" s="109">
        <f>+'26-10 payroll'!I24+'11-25 payroll'!I24</f>
        <v>0</v>
      </c>
      <c r="P34" s="109">
        <f>SUM('26-10 payroll'!O37:Q37,'11-25 payroll'!O37:Q37)</f>
        <v>2650</v>
      </c>
      <c r="R34" s="110"/>
      <c r="V34" s="109"/>
    </row>
    <row r="35" spans="1:22" s="105" customFormat="1" x14ac:dyDescent="0.2">
      <c r="A35" s="263"/>
      <c r="B35" s="263"/>
      <c r="C35" s="106"/>
      <c r="E35" s="106"/>
      <c r="G35" s="263"/>
      <c r="H35" s="263"/>
      <c r="I35" s="263"/>
      <c r="J35" s="109"/>
      <c r="K35" s="109"/>
      <c r="L35" s="109"/>
      <c r="M35" s="109"/>
      <c r="N35" s="109"/>
      <c r="O35" s="109"/>
      <c r="P35" s="109"/>
      <c r="R35" s="110"/>
      <c r="V35" s="109"/>
    </row>
    <row r="36" spans="1:22" s="105" customFormat="1" x14ac:dyDescent="0.2">
      <c r="A36" s="263"/>
      <c r="B36" s="264">
        <f t="shared" ref="B36:P36" si="5">SUM(B34:B35)</f>
        <v>10273</v>
      </c>
      <c r="C36" s="264">
        <f t="shared" si="5"/>
        <v>0</v>
      </c>
      <c r="D36" s="264">
        <f t="shared" si="5"/>
        <v>0</v>
      </c>
      <c r="E36" s="264">
        <f t="shared" si="5"/>
        <v>0</v>
      </c>
      <c r="F36" s="264">
        <f t="shared" si="5"/>
        <v>0</v>
      </c>
      <c r="G36" s="264">
        <f t="shared" si="5"/>
        <v>50</v>
      </c>
      <c r="H36" s="264">
        <f t="shared" si="5"/>
        <v>0</v>
      </c>
      <c r="I36" s="264">
        <f t="shared" si="5"/>
        <v>0</v>
      </c>
      <c r="J36" s="264">
        <f t="shared" si="5"/>
        <v>0</v>
      </c>
      <c r="K36" s="264">
        <f t="shared" si="5"/>
        <v>0</v>
      </c>
      <c r="L36" s="264">
        <f t="shared" si="5"/>
        <v>0</v>
      </c>
      <c r="M36" s="264">
        <f t="shared" si="5"/>
        <v>0</v>
      </c>
      <c r="N36" s="264">
        <f t="shared" si="5"/>
        <v>0</v>
      </c>
      <c r="O36" s="264">
        <f t="shared" si="5"/>
        <v>0</v>
      </c>
      <c r="P36" s="264">
        <f t="shared" si="5"/>
        <v>2650</v>
      </c>
      <c r="R36" s="110"/>
      <c r="V36" s="109"/>
    </row>
    <row r="37" spans="1:22" s="265" customFormat="1" x14ac:dyDescent="0.2">
      <c r="A37" s="263" t="str">
        <f>+'26-10 payroll'!B7</f>
        <v>Biarcal, Ronald Glenn</v>
      </c>
      <c r="B37" s="263">
        <f>+'26-10 payroll'!G7+'11-25 payroll'!G7</f>
        <v>9688</v>
      </c>
      <c r="C37" s="106"/>
      <c r="D37" s="105"/>
      <c r="E37" s="106"/>
      <c r="F37" s="105"/>
      <c r="G37" s="263">
        <f>+'26-10 payroll'!I7+'11-25 payroll'!I7</f>
        <v>0</v>
      </c>
      <c r="H37" s="263">
        <f>+'26-10 payroll'!H7+'11-25 payroll'!H7</f>
        <v>60</v>
      </c>
      <c r="I37" s="263">
        <f>+'26-10 payroll'!P7+'11-25 payroll'!P7</f>
        <v>0</v>
      </c>
      <c r="J37" s="109">
        <f>+'26-10 payroll'!R7+'11-25 payroll'!R7</f>
        <v>0</v>
      </c>
      <c r="K37" s="109">
        <f>+'26-10 payroll'!T7+'11-25 payroll'!T7</f>
        <v>0</v>
      </c>
      <c r="L37" s="109">
        <f>+'26-10 payroll'!V7+'11-25 payroll'!V7</f>
        <v>0</v>
      </c>
      <c r="M37" s="109">
        <f>+'26-10 payroll'!W7+'11-25 payroll'!W7</f>
        <v>0</v>
      </c>
      <c r="N37" s="109">
        <f>+'26-10 payroll'!F22+'26-10 payroll'!H22+'11-25 payroll'!F22+'11-25 payroll'!H22</f>
        <v>0</v>
      </c>
      <c r="O37" s="109">
        <f>+'26-10 payroll'!I22+'11-25 payroll'!I22</f>
        <v>0</v>
      </c>
      <c r="P37" s="109">
        <f>SUM('26-10 payroll'!O35:Q35,'11-25 payroll'!O35:Q35)</f>
        <v>2153.5384615384614</v>
      </c>
      <c r="R37" s="266"/>
      <c r="V37" s="267"/>
    </row>
    <row r="38" spans="1:22" s="265" customFormat="1" x14ac:dyDescent="0.2">
      <c r="A38" s="263" t="str">
        <f>+'26-10 payroll'!B8</f>
        <v>Sanchez, Angelo</v>
      </c>
      <c r="B38" s="263">
        <f>+'26-10 payroll'!G8+'11-25 payroll'!G8</f>
        <v>8107</v>
      </c>
      <c r="C38" s="106"/>
      <c r="D38" s="105"/>
      <c r="E38" s="106"/>
      <c r="F38" s="105"/>
      <c r="G38" s="263">
        <f>+'26-10 payroll'!I8+'11-25 payroll'!I8</f>
        <v>0</v>
      </c>
      <c r="H38" s="263">
        <f>+'26-10 payroll'!H8+'11-25 payroll'!H8</f>
        <v>30</v>
      </c>
      <c r="I38" s="263">
        <f>+'26-10 payroll'!P8+'11-25 payroll'!P8</f>
        <v>0</v>
      </c>
      <c r="J38" s="109">
        <f>+'26-10 payroll'!R8+'11-25 payroll'!R8</f>
        <v>0</v>
      </c>
      <c r="K38" s="109">
        <f>+'26-10 payroll'!T8+'11-25 payroll'!T8</f>
        <v>0</v>
      </c>
      <c r="L38" s="109">
        <f>+'26-10 payroll'!V8+'11-25 payroll'!V8</f>
        <v>0</v>
      </c>
      <c r="M38" s="109">
        <f>+'26-10 payroll'!W8+'11-25 payroll'!W8</f>
        <v>0</v>
      </c>
      <c r="N38" s="109">
        <f>+'26-10 payroll'!F23+'26-10 payroll'!H23+'11-25 payroll'!F23+'11-25 payroll'!H23</f>
        <v>0</v>
      </c>
      <c r="O38" s="109">
        <f>+'26-10 payroll'!I23+'11-25 payroll'!I23</f>
        <v>0</v>
      </c>
      <c r="P38" s="109">
        <f>SUM('26-10 payroll'!O36:Q36,'11-25 payroll'!O36:Q36)</f>
        <v>1579.9230769230769</v>
      </c>
      <c r="R38" s="266"/>
      <c r="V38" s="267"/>
    </row>
    <row r="39" spans="1:22" s="105" customFormat="1" x14ac:dyDescent="0.2">
      <c r="A39" s="263" t="str">
        <f>+'26-10 payroll'!B10</f>
        <v xml:space="preserve">Sosa, Anna Marie </v>
      </c>
      <c r="B39" s="263">
        <f>+'26-10 payroll'!G10+'11-25 payroll'!G10</f>
        <v>9688</v>
      </c>
      <c r="C39" s="106"/>
      <c r="E39" s="106"/>
      <c r="G39" s="263">
        <f>+'26-10 payroll'!I10+'11-25 payroll'!I10</f>
        <v>0</v>
      </c>
      <c r="H39" s="263">
        <f>+'26-10 payroll'!H10+'11-25 payroll'!H10</f>
        <v>60</v>
      </c>
      <c r="I39" s="263">
        <f>+'26-10 payroll'!P10+'11-25 payroll'!P10</f>
        <v>0</v>
      </c>
      <c r="J39" s="109">
        <f>+'26-10 payroll'!R10+'11-25 payroll'!R10</f>
        <v>0</v>
      </c>
      <c r="K39" s="109">
        <f>+'26-10 payroll'!T10+'11-25 payroll'!T10</f>
        <v>0</v>
      </c>
      <c r="L39" s="109">
        <f>+'26-10 payroll'!V10+'11-25 payroll'!V10</f>
        <v>0</v>
      </c>
      <c r="M39" s="109">
        <f>+'26-10 payroll'!W10+'11-25 payroll'!W10</f>
        <v>0</v>
      </c>
      <c r="N39" s="109">
        <f>+'26-10 payroll'!F25+'26-10 payroll'!H25+'11-25 payroll'!F25+'11-25 payroll'!H25</f>
        <v>0</v>
      </c>
      <c r="O39" s="109">
        <f>+'26-10 payroll'!I25+'11-25 payroll'!I25</f>
        <v>0</v>
      </c>
      <c r="P39" s="109">
        <f>SUM('26-10 payroll'!O38:Q38,'11-25 payroll'!O38:Q38)</f>
        <v>2153.5384615384614</v>
      </c>
      <c r="R39" s="110"/>
      <c r="V39" s="109"/>
    </row>
    <row r="40" spans="1:22" s="105" customFormat="1" x14ac:dyDescent="0.2">
      <c r="A40" s="263"/>
      <c r="C40" s="106"/>
      <c r="E40" s="106"/>
      <c r="J40" s="109"/>
      <c r="K40" s="109"/>
      <c r="L40" s="109"/>
      <c r="M40" s="109"/>
      <c r="N40" s="109"/>
      <c r="O40" s="109"/>
      <c r="P40" s="109"/>
      <c r="R40" s="110"/>
      <c r="V40" s="109"/>
    </row>
    <row r="41" spans="1:22" s="105" customFormat="1" x14ac:dyDescent="0.2">
      <c r="A41" s="263"/>
      <c r="B41" s="268">
        <f>SUM(B37:B40)</f>
        <v>27483</v>
      </c>
      <c r="C41" s="268">
        <f t="shared" ref="C41:P41" si="6">SUM(C37:C40)</f>
        <v>0</v>
      </c>
      <c r="D41" s="268">
        <f t="shared" si="6"/>
        <v>0</v>
      </c>
      <c r="E41" s="268">
        <f t="shared" si="6"/>
        <v>0</v>
      </c>
      <c r="F41" s="268">
        <f t="shared" si="6"/>
        <v>0</v>
      </c>
      <c r="G41" s="268">
        <f t="shared" si="6"/>
        <v>0</v>
      </c>
      <c r="H41" s="268">
        <f t="shared" si="6"/>
        <v>150</v>
      </c>
      <c r="I41" s="268">
        <f t="shared" si="6"/>
        <v>0</v>
      </c>
      <c r="J41" s="268">
        <f t="shared" si="6"/>
        <v>0</v>
      </c>
      <c r="K41" s="268">
        <f t="shared" si="6"/>
        <v>0</v>
      </c>
      <c r="L41" s="268">
        <f t="shared" si="6"/>
        <v>0</v>
      </c>
      <c r="M41" s="268">
        <f t="shared" si="6"/>
        <v>0</v>
      </c>
      <c r="N41" s="268">
        <f t="shared" si="6"/>
        <v>0</v>
      </c>
      <c r="O41" s="268">
        <f t="shared" si="6"/>
        <v>0</v>
      </c>
      <c r="P41" s="268">
        <f t="shared" si="6"/>
        <v>5887</v>
      </c>
      <c r="R41" s="110"/>
      <c r="V41" s="109"/>
    </row>
    <row r="42" spans="1:22" s="105" customFormat="1" x14ac:dyDescent="0.2">
      <c r="C42" s="106"/>
      <c r="E42" s="106"/>
      <c r="J42" s="109"/>
      <c r="K42" s="109"/>
      <c r="L42" s="109"/>
      <c r="M42" s="109"/>
      <c r="N42" s="109"/>
      <c r="O42" s="109"/>
      <c r="P42" s="109"/>
      <c r="R42" s="110"/>
      <c r="V42" s="109"/>
    </row>
    <row r="43" spans="1:22" s="105" customFormat="1" x14ac:dyDescent="0.2">
      <c r="C43" s="106"/>
      <c r="E43" s="106"/>
      <c r="J43" s="109"/>
      <c r="K43" s="109"/>
      <c r="L43" s="109"/>
      <c r="M43" s="109"/>
      <c r="N43" s="109"/>
      <c r="O43" s="109"/>
      <c r="R43" s="110"/>
      <c r="V43" s="109"/>
    </row>
    <row r="44" spans="1:22" s="105" customFormat="1" x14ac:dyDescent="0.2">
      <c r="B44" s="263">
        <f>+B41+B36</f>
        <v>37756</v>
      </c>
      <c r="C44" s="263">
        <f>+C41+C36</f>
        <v>0</v>
      </c>
      <c r="D44" s="263">
        <f>+D41+D36</f>
        <v>0</v>
      </c>
      <c r="E44" s="263">
        <f>+E41+E36</f>
        <v>0</v>
      </c>
      <c r="F44" s="263">
        <f>+F41+F36</f>
        <v>0</v>
      </c>
      <c r="G44" s="263"/>
      <c r="H44" s="263">
        <f t="shared" ref="H44:P44" si="7">+H41+H36</f>
        <v>150</v>
      </c>
      <c r="I44" s="263">
        <f t="shared" si="7"/>
        <v>0</v>
      </c>
      <c r="J44" s="263">
        <f t="shared" si="7"/>
        <v>0</v>
      </c>
      <c r="K44" s="263">
        <f t="shared" si="7"/>
        <v>0</v>
      </c>
      <c r="L44" s="263">
        <f t="shared" si="7"/>
        <v>0</v>
      </c>
      <c r="M44" s="263">
        <f t="shared" si="7"/>
        <v>0</v>
      </c>
      <c r="N44" s="263">
        <f t="shared" si="7"/>
        <v>0</v>
      </c>
      <c r="O44" s="263">
        <f t="shared" si="7"/>
        <v>0</v>
      </c>
      <c r="P44" s="263">
        <f t="shared" si="7"/>
        <v>8537</v>
      </c>
      <c r="Q44" s="263">
        <f>SUM(B44:P44)</f>
        <v>46443</v>
      </c>
      <c r="R44" s="110"/>
      <c r="V44" s="109"/>
    </row>
    <row r="45" spans="1:22" s="105" customFormat="1" x14ac:dyDescent="0.2">
      <c r="C45" s="106"/>
      <c r="E45" s="106"/>
      <c r="G45" s="263"/>
      <c r="I45" s="109"/>
      <c r="J45" s="109"/>
      <c r="K45" s="109"/>
      <c r="L45" s="109"/>
      <c r="M45" s="109"/>
      <c r="N45" s="109"/>
      <c r="Q45" s="110"/>
      <c r="U45" s="109"/>
    </row>
    <row r="46" spans="1:22" s="105" customFormat="1" x14ac:dyDescent="0.2">
      <c r="A46" s="450" t="s">
        <v>133</v>
      </c>
      <c r="B46" s="450"/>
      <c r="C46" s="450"/>
      <c r="D46" s="450"/>
      <c r="E46" s="450"/>
      <c r="F46" s="450"/>
      <c r="G46" s="450"/>
      <c r="H46" s="450"/>
      <c r="I46" s="450"/>
      <c r="J46" s="450"/>
      <c r="K46" s="450"/>
      <c r="L46" s="450"/>
      <c r="M46" s="450"/>
      <c r="N46" s="450"/>
      <c r="O46" s="450"/>
      <c r="Q46" s="110"/>
      <c r="U46" s="109"/>
    </row>
    <row r="47" spans="1:22" s="105" customFormat="1" x14ac:dyDescent="0.2">
      <c r="A47" s="450"/>
      <c r="B47" s="450"/>
      <c r="C47" s="450"/>
      <c r="D47" s="450"/>
      <c r="E47" s="450"/>
      <c r="F47" s="450"/>
      <c r="G47" s="450"/>
      <c r="H47" s="450"/>
      <c r="I47" s="450"/>
      <c r="J47" s="450"/>
      <c r="K47" s="450"/>
      <c r="L47" s="450"/>
      <c r="M47" s="450"/>
      <c r="N47" s="450"/>
      <c r="O47" s="450"/>
      <c r="Q47" s="110"/>
      <c r="U47" s="109"/>
    </row>
    <row r="48" spans="1:22" s="105" customFormat="1" x14ac:dyDescent="0.2">
      <c r="C48" s="106"/>
      <c r="E48" s="106"/>
      <c r="I48" s="109"/>
      <c r="J48" s="109"/>
      <c r="K48" s="269" t="s">
        <v>134</v>
      </c>
      <c r="L48" s="270">
        <f>+L49+L50+L51+L52</f>
        <v>47115.3</v>
      </c>
      <c r="M48" s="263">
        <f>+I29+P36+P41-(O36+O41)+G36</f>
        <v>59463</v>
      </c>
      <c r="N48" s="109">
        <f>+L48-M48</f>
        <v>-12347.699999999997</v>
      </c>
      <c r="P48" s="263"/>
      <c r="Q48" s="110"/>
      <c r="R48" s="263"/>
      <c r="U48" s="109"/>
      <c r="V48" s="263"/>
    </row>
    <row r="49" spans="1:21" s="105" customFormat="1" x14ac:dyDescent="0.2">
      <c r="C49" s="106"/>
      <c r="E49" s="106"/>
      <c r="I49" s="109"/>
      <c r="J49" s="109"/>
      <c r="K49" s="269" t="s">
        <v>135</v>
      </c>
      <c r="L49" s="270">
        <f>+SUM(I18:I19,I21)-L50-(SUM(J21,J18:J19,M21,M18:M19,O21,O18:O19))-H41-O41</f>
        <v>25597.9</v>
      </c>
      <c r="M49" s="263">
        <f>+L49</f>
        <v>25597.9</v>
      </c>
      <c r="N49" s="109">
        <f>+L49-M49</f>
        <v>0</v>
      </c>
      <c r="P49" s="263"/>
      <c r="Q49" s="110"/>
      <c r="R49" s="263"/>
      <c r="S49" s="263"/>
      <c r="T49" s="263"/>
      <c r="U49" s="109"/>
    </row>
    <row r="50" spans="1:21" s="105" customFormat="1" x14ac:dyDescent="0.2">
      <c r="A50" s="105" t="s">
        <v>136</v>
      </c>
      <c r="C50" s="106"/>
      <c r="E50" s="106"/>
      <c r="G50" s="105" t="s">
        <v>137</v>
      </c>
      <c r="I50" s="109"/>
      <c r="J50" s="109"/>
      <c r="K50" s="269" t="s">
        <v>138</v>
      </c>
      <c r="L50" s="270">
        <f>+J41+K41+I41+L41</f>
        <v>0</v>
      </c>
      <c r="M50" s="263">
        <f>+L50</f>
        <v>0</v>
      </c>
      <c r="N50" s="109">
        <f>+L50-M50</f>
        <v>0</v>
      </c>
      <c r="Q50" s="110"/>
      <c r="U50" s="109"/>
    </row>
    <row r="51" spans="1:21" s="105" customFormat="1" x14ac:dyDescent="0.2">
      <c r="C51" s="106"/>
      <c r="E51" s="106"/>
      <c r="G51" s="105" t="s">
        <v>139</v>
      </c>
      <c r="I51" s="109"/>
      <c r="J51" s="109"/>
      <c r="K51" s="269" t="s">
        <v>140</v>
      </c>
      <c r="L51" s="270">
        <f>+H44+P44+J29+M29+O29</f>
        <v>11975.7</v>
      </c>
      <c r="M51" s="263">
        <f>+L51</f>
        <v>11975.7</v>
      </c>
      <c r="N51" s="109">
        <f>+L51-M51</f>
        <v>0</v>
      </c>
      <c r="P51" s="263"/>
      <c r="Q51" s="110"/>
      <c r="U51" s="109"/>
    </row>
    <row r="52" spans="1:21" s="105" customFormat="1" x14ac:dyDescent="0.2">
      <c r="A52" s="105" t="s">
        <v>141</v>
      </c>
      <c r="C52" s="106"/>
      <c r="E52" s="106"/>
      <c r="G52" s="105" t="s">
        <v>142</v>
      </c>
      <c r="I52" s="109"/>
      <c r="J52" s="109"/>
      <c r="K52" s="269" t="s">
        <v>143</v>
      </c>
      <c r="L52" s="270">
        <f>(SUM(B34:M35))-(SUM(J20,M20,O20))-(SUM(H34:H35))-(SUM(N34:O35))</f>
        <v>9541.7000000000007</v>
      </c>
      <c r="M52" s="263">
        <f>+M48-M49-M50-M51</f>
        <v>21889.399999999998</v>
      </c>
      <c r="N52" s="109">
        <f>+L52-M52</f>
        <v>-12347.699999999997</v>
      </c>
      <c r="P52" s="263"/>
      <c r="Q52" s="110"/>
      <c r="R52" s="263"/>
      <c r="S52" s="263"/>
      <c r="U52" s="109"/>
    </row>
    <row r="53" spans="1:21" s="105" customFormat="1" x14ac:dyDescent="0.2">
      <c r="C53" s="106"/>
      <c r="E53" s="106"/>
      <c r="I53" s="109"/>
      <c r="J53" s="109"/>
      <c r="K53" s="269"/>
      <c r="L53" s="109"/>
      <c r="M53" s="109"/>
      <c r="N53" s="109"/>
      <c r="Q53" s="110"/>
      <c r="U53" s="109"/>
    </row>
    <row r="54" spans="1:21" s="105" customFormat="1" x14ac:dyDescent="0.2">
      <c r="C54" s="106"/>
      <c r="E54" s="106"/>
      <c r="I54" s="109"/>
      <c r="J54" s="109"/>
      <c r="K54" s="269" t="s">
        <v>144</v>
      </c>
      <c r="L54" s="109">
        <f>+Q29</f>
        <v>0</v>
      </c>
      <c r="M54" s="109"/>
      <c r="N54" s="109"/>
      <c r="Q54" s="110"/>
      <c r="U54" s="109"/>
    </row>
    <row r="55" spans="1:21" s="105" customFormat="1" x14ac:dyDescent="0.2">
      <c r="C55" s="106"/>
      <c r="E55" s="106"/>
      <c r="G55" s="105" t="s">
        <v>145</v>
      </c>
      <c r="I55" s="109"/>
      <c r="J55" s="109"/>
      <c r="K55" s="269" t="s">
        <v>146</v>
      </c>
      <c r="L55" s="271">
        <v>0</v>
      </c>
      <c r="M55" s="109"/>
      <c r="N55" s="109"/>
      <c r="Q55" s="110"/>
      <c r="U55" s="109"/>
    </row>
    <row r="56" spans="1:21" s="105" customFormat="1" x14ac:dyDescent="0.2">
      <c r="C56" s="106"/>
      <c r="E56" s="106"/>
      <c r="I56" s="109"/>
      <c r="J56" s="109"/>
      <c r="K56" s="269" t="s">
        <v>147</v>
      </c>
      <c r="L56" s="109">
        <f>+L54+L55</f>
        <v>0</v>
      </c>
      <c r="M56" s="109"/>
      <c r="N56" s="109"/>
      <c r="Q56" s="110"/>
      <c r="U56" s="109"/>
    </row>
    <row r="57" spans="1:21" s="105" customFormat="1" x14ac:dyDescent="0.2">
      <c r="C57" s="106"/>
      <c r="E57" s="106"/>
      <c r="I57" s="109"/>
      <c r="J57" s="109"/>
      <c r="K57" s="109"/>
      <c r="L57" s="109"/>
      <c r="M57" s="109"/>
      <c r="N57" s="109"/>
      <c r="Q57" s="110"/>
      <c r="U57" s="109"/>
    </row>
  </sheetData>
  <sheetProtection password="A316" sheet="1"/>
  <protectedRanges>
    <protectedRange password="A316" sqref="A1:T15 A30:T32 A16:Q28 A29:U29" name="Contributiom"/>
    <protectedRange password="A316" sqref="R16:U28" name="Contributiom_1"/>
  </protectedRanges>
  <customSheetViews>
    <customSheetView guid="{2EF2580B-764A-44D6-8997-219DAE86C0B9}" scale="85" hiddenRows="1" hiddenColumns="1" topLeftCell="A11">
      <selection activeCell="S22" sqref="S22"/>
      <pageMargins left="0.26" right="0.2" top="1" bottom="1" header="0.5" footer="0.5"/>
      <pageSetup paperSize="5" scale="90" orientation="landscape" r:id="rId1"/>
      <headerFooter alignWithMargins="0"/>
    </customSheetView>
  </customSheetViews>
  <mergeCells count="10">
    <mergeCell ref="A46:O47"/>
    <mergeCell ref="R16:U16"/>
    <mergeCell ref="G15:H15"/>
    <mergeCell ref="J15:L15"/>
    <mergeCell ref="M15:N15"/>
    <mergeCell ref="O15:P15"/>
    <mergeCell ref="G16:H16"/>
    <mergeCell ref="J16:L16"/>
    <mergeCell ref="M16:N16"/>
    <mergeCell ref="O16:P16"/>
  </mergeCells>
  <phoneticPr fontId="24" type="noConversion"/>
  <pageMargins left="0.26" right="0.2" top="0.39" bottom="0.36" header="0.25" footer="0.26"/>
  <pageSetup paperSize="5" scale="75" orientation="landscape" r:id="rId2"/>
  <headerFooter alignWithMargins="0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topLeftCell="A10" workbookViewId="0">
      <selection activeCell="K30" sqref="K30"/>
    </sheetView>
  </sheetViews>
  <sheetFormatPr defaultRowHeight="12.75" x14ac:dyDescent="0.2"/>
  <cols>
    <col min="1" max="1" width="4.7109375" customWidth="1"/>
    <col min="5" max="5" width="10.85546875" customWidth="1"/>
  </cols>
  <sheetData>
    <row r="1" spans="1:13" x14ac:dyDescent="0.2">
      <c r="A1" s="334" t="s">
        <v>289</v>
      </c>
    </row>
    <row r="3" spans="1:13" x14ac:dyDescent="0.2">
      <c r="B3" t="s">
        <v>273</v>
      </c>
    </row>
    <row r="5" spans="1:13" x14ac:dyDescent="0.2">
      <c r="A5" s="334" t="s">
        <v>280</v>
      </c>
      <c r="B5" s="337" t="s">
        <v>274</v>
      </c>
      <c r="C5" s="338"/>
      <c r="D5" s="338"/>
      <c r="E5" s="339"/>
      <c r="G5" s="337" t="s">
        <v>275</v>
      </c>
      <c r="H5" s="338"/>
      <c r="I5" s="339"/>
      <c r="J5" s="348"/>
      <c r="K5" s="338"/>
      <c r="L5" s="338"/>
      <c r="M5" s="339"/>
    </row>
    <row r="6" spans="1:13" x14ac:dyDescent="0.2">
      <c r="B6" s="340"/>
      <c r="C6" s="341"/>
      <c r="D6" s="341"/>
      <c r="E6" s="342"/>
      <c r="G6" s="340"/>
      <c r="H6" s="341"/>
      <c r="I6" s="342"/>
      <c r="J6" s="340"/>
      <c r="K6" s="341"/>
      <c r="L6" s="341"/>
      <c r="M6" s="342"/>
    </row>
    <row r="7" spans="1:13" x14ac:dyDescent="0.2">
      <c r="B7" s="343" t="s">
        <v>276</v>
      </c>
      <c r="C7" s="341">
        <v>502</v>
      </c>
      <c r="D7" s="341"/>
      <c r="E7" s="342"/>
      <c r="G7" s="343" t="s">
        <v>276</v>
      </c>
      <c r="H7" s="341">
        <v>502</v>
      </c>
      <c r="I7" s="342"/>
      <c r="J7" s="343" t="s">
        <v>286</v>
      </c>
      <c r="K7" s="341"/>
      <c r="L7" s="341"/>
      <c r="M7" s="342"/>
    </row>
    <row r="8" spans="1:13" x14ac:dyDescent="0.2">
      <c r="B8" s="343" t="s">
        <v>277</v>
      </c>
      <c r="C8" s="341">
        <v>2.15</v>
      </c>
      <c r="D8" s="341"/>
      <c r="E8" s="342"/>
      <c r="G8" s="343" t="s">
        <v>277</v>
      </c>
      <c r="H8" s="341">
        <f>2+15/60</f>
        <v>2.25</v>
      </c>
      <c r="I8" s="342"/>
      <c r="J8" s="343" t="s">
        <v>287</v>
      </c>
      <c r="K8" s="341"/>
      <c r="L8" s="341"/>
      <c r="M8" s="342"/>
    </row>
    <row r="9" spans="1:13" x14ac:dyDescent="0.2">
      <c r="B9" s="340"/>
      <c r="C9" s="341"/>
      <c r="D9" s="341"/>
      <c r="E9" s="342"/>
      <c r="G9" s="340"/>
      <c r="H9" s="341"/>
      <c r="I9" s="342"/>
      <c r="J9" s="343" t="s">
        <v>288</v>
      </c>
      <c r="K9" s="341"/>
      <c r="L9" s="341"/>
      <c r="M9" s="342"/>
    </row>
    <row r="10" spans="1:13" x14ac:dyDescent="0.2">
      <c r="B10" s="344" t="s">
        <v>278</v>
      </c>
      <c r="C10" s="345">
        <f>C7/8*C8</f>
        <v>134.91249999999999</v>
      </c>
      <c r="D10" s="346"/>
      <c r="E10" s="347"/>
      <c r="G10" s="344" t="s">
        <v>278</v>
      </c>
      <c r="H10" s="345">
        <f>H7/8*H8</f>
        <v>141.1875</v>
      </c>
      <c r="I10" s="347"/>
      <c r="J10" s="349"/>
      <c r="K10" s="346"/>
      <c r="L10" s="346"/>
      <c r="M10" s="347"/>
    </row>
    <row r="12" spans="1:13" x14ac:dyDescent="0.2">
      <c r="B12" s="336" t="s">
        <v>279</v>
      </c>
    </row>
    <row r="15" spans="1:13" x14ac:dyDescent="0.2">
      <c r="A15" s="334" t="s">
        <v>285</v>
      </c>
      <c r="B15" s="337" t="s">
        <v>281</v>
      </c>
      <c r="C15" s="338"/>
      <c r="D15" s="338"/>
      <c r="E15" s="339"/>
      <c r="G15" s="337" t="s">
        <v>282</v>
      </c>
      <c r="H15" s="338"/>
      <c r="I15" s="339"/>
    </row>
    <row r="16" spans="1:13" x14ac:dyDescent="0.2">
      <c r="B16" s="340"/>
      <c r="C16" s="341"/>
      <c r="D16" s="341"/>
      <c r="E16" s="342"/>
      <c r="G16" s="340"/>
      <c r="H16" s="341"/>
      <c r="I16" s="342"/>
    </row>
    <row r="17" spans="1:9" x14ac:dyDescent="0.2">
      <c r="B17" s="343" t="s">
        <v>276</v>
      </c>
      <c r="C17" s="341">
        <v>502</v>
      </c>
      <c r="D17" s="341"/>
      <c r="E17" s="342"/>
      <c r="G17" s="343" t="s">
        <v>276</v>
      </c>
      <c r="H17" s="341">
        <v>502</v>
      </c>
      <c r="I17" s="342"/>
    </row>
    <row r="18" spans="1:9" x14ac:dyDescent="0.2">
      <c r="B18" s="343" t="s">
        <v>277</v>
      </c>
      <c r="C18" s="341">
        <v>2.59</v>
      </c>
      <c r="D18" s="457" t="s">
        <v>283</v>
      </c>
      <c r="E18" s="458"/>
      <c r="G18" s="343" t="s">
        <v>277</v>
      </c>
      <c r="H18" s="350">
        <f>2+59/60</f>
        <v>2.9833333333333334</v>
      </c>
      <c r="I18" s="342"/>
    </row>
    <row r="19" spans="1:9" x14ac:dyDescent="0.2">
      <c r="B19" s="340"/>
      <c r="C19" s="341"/>
      <c r="D19" s="457"/>
      <c r="E19" s="458"/>
      <c r="G19" s="340"/>
      <c r="H19" s="341"/>
      <c r="I19" s="342"/>
    </row>
    <row r="20" spans="1:9" x14ac:dyDescent="0.2">
      <c r="B20" s="344" t="s">
        <v>278</v>
      </c>
      <c r="C20" s="345">
        <f>C17/8*C18</f>
        <v>162.52249999999998</v>
      </c>
      <c r="D20" s="346"/>
      <c r="E20" s="347"/>
      <c r="G20" s="344" t="s">
        <v>278</v>
      </c>
      <c r="H20" s="345">
        <f>H17/8*H18</f>
        <v>187.20416666666668</v>
      </c>
      <c r="I20" s="347"/>
    </row>
    <row r="22" spans="1:9" x14ac:dyDescent="0.2">
      <c r="B22" s="336" t="s">
        <v>284</v>
      </c>
    </row>
    <row r="25" spans="1:9" x14ac:dyDescent="0.2">
      <c r="A25" s="335" t="s">
        <v>290</v>
      </c>
    </row>
  </sheetData>
  <mergeCells count="1">
    <mergeCell ref="D18:E19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65"/>
  <sheetViews>
    <sheetView topLeftCell="A55" workbookViewId="0">
      <selection activeCell="J68" sqref="J68:P131"/>
    </sheetView>
  </sheetViews>
  <sheetFormatPr defaultRowHeight="12.75" x14ac:dyDescent="0.2"/>
  <cols>
    <col min="1" max="1" width="3" style="170" customWidth="1"/>
    <col min="2" max="2" width="12.28515625" style="172" customWidth="1"/>
    <col min="3" max="3" width="3.42578125" style="227" customWidth="1"/>
    <col min="4" max="4" width="9.7109375" style="227" customWidth="1"/>
    <col min="5" max="5" width="13.7109375" style="227" customWidth="1"/>
    <col min="6" max="6" width="10.140625" style="53" customWidth="1"/>
    <col min="7" max="7" width="3" style="53" hidden="1" customWidth="1"/>
    <col min="8" max="8" width="10.28515625" style="227" customWidth="1"/>
    <col min="9" max="9" width="2.42578125" style="170" customWidth="1"/>
    <col min="10" max="10" width="12.28515625" style="7" customWidth="1"/>
    <col min="11" max="11" width="3.42578125" style="170" customWidth="1"/>
    <col min="12" max="12" width="9.7109375" style="170" customWidth="1"/>
    <col min="13" max="13" width="13.7109375" style="170" customWidth="1"/>
    <col min="14" max="14" width="10.42578125" style="174" customWidth="1"/>
    <col min="15" max="15" width="3" style="174" hidden="1" customWidth="1"/>
    <col min="16" max="16" width="10.28515625" style="170" customWidth="1"/>
    <col min="17" max="17" width="3.42578125" style="170" customWidth="1"/>
    <col min="18" max="18" width="10.85546875" style="170" bestFit="1" customWidth="1"/>
    <col min="19" max="19" width="9.140625" style="170"/>
    <col min="20" max="20" width="12" style="175" bestFit="1" customWidth="1"/>
    <col min="21" max="21" width="9.140625" style="176"/>
    <col min="22" max="22" width="10.42578125" style="177" bestFit="1" customWidth="1"/>
    <col min="23" max="16384" width="9.140625" style="170"/>
  </cols>
  <sheetData>
    <row r="1" spans="1:22" ht="18.75" customHeight="1" thickBot="1" x14ac:dyDescent="0.25">
      <c r="B1" s="171">
        <v>1</v>
      </c>
      <c r="C1" s="172"/>
      <c r="D1" s="172"/>
      <c r="E1" s="172"/>
      <c r="F1" s="172"/>
      <c r="G1" s="172"/>
      <c r="H1" s="172"/>
      <c r="J1" s="173">
        <v>2</v>
      </c>
    </row>
    <row r="2" spans="1:22" x14ac:dyDescent="0.2">
      <c r="B2" s="440" t="str">
        <f>'[2]11-25 payroll'!A1</f>
        <v>THE OLD SPAGHETTI HOUSE</v>
      </c>
      <c r="C2" s="441"/>
      <c r="D2" s="441"/>
      <c r="E2" s="441"/>
      <c r="F2" s="441"/>
      <c r="G2" s="441"/>
      <c r="H2" s="442"/>
      <c r="I2" s="178"/>
      <c r="J2" s="440" t="str">
        <f>'[2]11-25 payroll'!A1</f>
        <v>THE OLD SPAGHETTI HOUSE</v>
      </c>
      <c r="K2" s="441"/>
      <c r="L2" s="441"/>
      <c r="M2" s="441"/>
      <c r="N2" s="441"/>
      <c r="O2" s="441"/>
      <c r="P2" s="442"/>
    </row>
    <row r="3" spans="1:22" s="179" customFormat="1" x14ac:dyDescent="0.2">
      <c r="A3" s="170"/>
      <c r="B3" s="443" t="str">
        <f>'[2]11-25 payroll'!D2</f>
        <v>VALERO</v>
      </c>
      <c r="C3" s="444"/>
      <c r="D3" s="444"/>
      <c r="E3" s="444"/>
      <c r="F3" s="444"/>
      <c r="G3" s="444"/>
      <c r="H3" s="445"/>
      <c r="I3" s="178"/>
      <c r="J3" s="443" t="str">
        <f>'[2]11-25 payroll'!D2</f>
        <v>VALERO</v>
      </c>
      <c r="K3" s="444"/>
      <c r="L3" s="444"/>
      <c r="M3" s="444"/>
      <c r="N3" s="444"/>
      <c r="O3" s="444"/>
      <c r="P3" s="445"/>
      <c r="T3" s="180"/>
      <c r="U3" s="181"/>
      <c r="V3" s="182"/>
    </row>
    <row r="4" spans="1:22" s="187" customFormat="1" ht="6.75" customHeight="1" x14ac:dyDescent="0.2">
      <c r="A4" s="170"/>
      <c r="B4" s="183"/>
      <c r="C4" s="184"/>
      <c r="D4" s="184"/>
      <c r="E4" s="184"/>
      <c r="F4" s="54"/>
      <c r="G4" s="54"/>
      <c r="H4" s="185"/>
      <c r="I4" s="186"/>
      <c r="J4" s="183"/>
      <c r="K4" s="184"/>
      <c r="L4" s="184"/>
      <c r="M4" s="184"/>
      <c r="N4" s="8"/>
      <c r="O4" s="8"/>
      <c r="P4" s="185"/>
      <c r="T4" s="188"/>
      <c r="U4" s="189"/>
      <c r="V4" s="190"/>
    </row>
    <row r="5" spans="1:22" s="174" customFormat="1" x14ac:dyDescent="0.2">
      <c r="A5" s="170"/>
      <c r="B5" s="446" t="s">
        <v>25</v>
      </c>
      <c r="C5" s="447"/>
      <c r="D5" s="447"/>
      <c r="E5" s="447"/>
      <c r="F5" s="447"/>
      <c r="G5" s="447"/>
      <c r="H5" s="448"/>
      <c r="I5" s="178"/>
      <c r="J5" s="446" t="s">
        <v>25</v>
      </c>
      <c r="K5" s="447"/>
      <c r="L5" s="447"/>
      <c r="M5" s="447"/>
      <c r="N5" s="447"/>
      <c r="O5" s="447"/>
      <c r="P5" s="448"/>
      <c r="T5" s="175"/>
      <c r="U5" s="176"/>
      <c r="V5" s="191"/>
    </row>
    <row r="6" spans="1:22" s="187" customFormat="1" ht="6.75" customHeight="1" x14ac:dyDescent="0.2">
      <c r="A6" s="170"/>
      <c r="B6" s="183"/>
      <c r="C6" s="184"/>
      <c r="D6" s="184"/>
      <c r="E6" s="184"/>
      <c r="F6" s="54"/>
      <c r="G6" s="54"/>
      <c r="H6" s="185"/>
      <c r="I6" s="186"/>
      <c r="J6" s="183"/>
      <c r="K6" s="184"/>
      <c r="L6" s="184"/>
      <c r="M6" s="184"/>
      <c r="N6" s="8"/>
      <c r="O6" s="8"/>
      <c r="P6" s="185"/>
      <c r="T6" s="188"/>
      <c r="U6" s="189"/>
      <c r="V6" s="190"/>
    </row>
    <row r="7" spans="1:22" x14ac:dyDescent="0.2">
      <c r="B7" s="192" t="s">
        <v>26</v>
      </c>
      <c r="C7" s="193" t="s">
        <v>27</v>
      </c>
      <c r="D7" s="437" t="str">
        <f>'[2]11-25 payroll'!B7</f>
        <v>Biarcal, Ronald Glenn</v>
      </c>
      <c r="E7" s="437"/>
      <c r="F7" s="437"/>
      <c r="G7" s="55"/>
      <c r="H7" s="194"/>
      <c r="I7" s="195"/>
      <c r="J7" s="192" t="s">
        <v>26</v>
      </c>
      <c r="K7" s="193" t="s">
        <v>27</v>
      </c>
      <c r="L7" s="437" t="str">
        <f>'[2]11-25 payroll'!B8</f>
        <v>Sanchez, Angelo</v>
      </c>
      <c r="M7" s="437"/>
      <c r="N7" s="437"/>
      <c r="O7" s="9"/>
      <c r="P7" s="194"/>
    </row>
    <row r="8" spans="1:22" x14ac:dyDescent="0.2">
      <c r="B8" s="192" t="s">
        <v>28</v>
      </c>
      <c r="C8" s="193" t="s">
        <v>27</v>
      </c>
      <c r="D8" s="438">
        <v>527</v>
      </c>
      <c r="E8" s="438"/>
      <c r="F8" s="438"/>
      <c r="G8" s="55"/>
      <c r="H8" s="356"/>
      <c r="I8" s="195"/>
      <c r="J8" s="192" t="s">
        <v>28</v>
      </c>
      <c r="K8" s="193" t="s">
        <v>27</v>
      </c>
      <c r="L8" s="438">
        <v>527</v>
      </c>
      <c r="M8" s="438"/>
      <c r="N8" s="438"/>
      <c r="O8" s="9"/>
      <c r="P8" s="356"/>
    </row>
    <row r="9" spans="1:22" s="187" customFormat="1" x14ac:dyDescent="0.2">
      <c r="A9" s="170"/>
      <c r="B9" s="192" t="s">
        <v>29</v>
      </c>
      <c r="C9" s="193" t="s">
        <v>27</v>
      </c>
      <c r="D9" s="439" t="str">
        <f>'26-10 payroll'!D3</f>
        <v>September 28-Oct 03, 2020</v>
      </c>
      <c r="E9" s="439"/>
      <c r="F9" s="439"/>
      <c r="G9" s="55"/>
      <c r="H9" s="194"/>
      <c r="I9" s="195"/>
      <c r="J9" s="192" t="s">
        <v>29</v>
      </c>
      <c r="K9" s="193" t="s">
        <v>27</v>
      </c>
      <c r="L9" s="439" t="str">
        <f>'26-10 payroll'!D3</f>
        <v>September 28-Oct 03, 2020</v>
      </c>
      <c r="M9" s="439"/>
      <c r="N9" s="439"/>
      <c r="O9" s="9"/>
      <c r="P9" s="194"/>
      <c r="T9" s="188"/>
      <c r="U9" s="189"/>
      <c r="V9" s="190"/>
    </row>
    <row r="10" spans="1:22" s="174" customFormat="1" x14ac:dyDescent="0.2">
      <c r="A10" s="170"/>
      <c r="B10" s="197" t="s">
        <v>16</v>
      </c>
      <c r="C10" s="198"/>
      <c r="D10" s="199"/>
      <c r="E10" s="200"/>
      <c r="F10" s="201"/>
      <c r="G10" s="55"/>
      <c r="H10" s="58">
        <f>'26-10 payroll'!P22</f>
        <v>3222</v>
      </c>
      <c r="I10" s="195"/>
      <c r="J10" s="197" t="s">
        <v>16</v>
      </c>
      <c r="K10" s="198"/>
      <c r="L10" s="199"/>
      <c r="M10" s="200"/>
      <c r="N10" s="9"/>
      <c r="O10" s="9"/>
      <c r="P10" s="56">
        <f>'26-10 payroll'!G8</f>
        <v>1581</v>
      </c>
      <c r="T10" s="175"/>
      <c r="U10" s="176"/>
      <c r="V10" s="191"/>
    </row>
    <row r="11" spans="1:22" s="174" customFormat="1" x14ac:dyDescent="0.2">
      <c r="A11" s="170"/>
      <c r="B11" s="192"/>
      <c r="C11" s="198"/>
      <c r="D11" s="200" t="s">
        <v>31</v>
      </c>
      <c r="E11" s="202">
        <f>'26-10 payroll'!F7</f>
        <v>6</v>
      </c>
      <c r="F11" s="57" t="s">
        <v>90</v>
      </c>
      <c r="G11" s="55"/>
      <c r="H11" s="58"/>
      <c r="I11" s="195"/>
      <c r="J11" s="192"/>
      <c r="K11" s="198"/>
      <c r="L11" s="200" t="s">
        <v>31</v>
      </c>
      <c r="M11" s="203">
        <f>'26-10 payroll'!F8</f>
        <v>3</v>
      </c>
      <c r="N11" s="50" t="s">
        <v>90</v>
      </c>
      <c r="O11" s="9"/>
      <c r="P11" s="10"/>
      <c r="T11" s="175"/>
      <c r="U11" s="176"/>
      <c r="V11" s="191"/>
    </row>
    <row r="12" spans="1:22" s="187" customFormat="1" ht="6.75" customHeight="1" x14ac:dyDescent="0.2">
      <c r="A12" s="170"/>
      <c r="B12" s="183"/>
      <c r="C12" s="184"/>
      <c r="D12" s="184"/>
      <c r="E12" s="184"/>
      <c r="F12" s="54"/>
      <c r="G12" s="54"/>
      <c r="H12" s="185"/>
      <c r="I12" s="186"/>
      <c r="J12" s="183"/>
      <c r="K12" s="184"/>
      <c r="L12" s="184"/>
      <c r="M12" s="184"/>
      <c r="N12" s="8"/>
      <c r="O12" s="8"/>
      <c r="P12" s="185"/>
      <c r="T12" s="188"/>
      <c r="U12" s="189"/>
      <c r="V12" s="190"/>
    </row>
    <row r="13" spans="1:22" x14ac:dyDescent="0.2">
      <c r="B13" s="192" t="s">
        <v>32</v>
      </c>
      <c r="C13" s="193"/>
      <c r="D13" s="204" t="s">
        <v>33</v>
      </c>
      <c r="E13" s="205"/>
      <c r="F13" s="55">
        <f>'[2]11-25 payroll'!P7</f>
        <v>0</v>
      </c>
      <c r="G13" s="55"/>
      <c r="H13" s="58"/>
      <c r="I13" s="195"/>
      <c r="J13" s="192" t="s">
        <v>32</v>
      </c>
      <c r="K13" s="193"/>
      <c r="L13" s="204" t="s">
        <v>33</v>
      </c>
      <c r="M13" s="205"/>
      <c r="N13" s="9">
        <f>'26-10 payroll'!P8</f>
        <v>0</v>
      </c>
      <c r="O13" s="9"/>
      <c r="P13" s="10"/>
    </row>
    <row r="14" spans="1:22" x14ac:dyDescent="0.2">
      <c r="B14" s="192"/>
      <c r="C14" s="193"/>
      <c r="D14" s="204" t="s">
        <v>95</v>
      </c>
      <c r="E14" s="205"/>
      <c r="F14" s="55">
        <v>0</v>
      </c>
      <c r="G14" s="55"/>
      <c r="H14" s="58"/>
      <c r="I14" s="195"/>
      <c r="J14" s="192"/>
      <c r="K14" s="193"/>
      <c r="L14" s="204" t="s">
        <v>95</v>
      </c>
      <c r="M14" s="205"/>
      <c r="N14" s="9">
        <f>'26-10 payroll'!H8</f>
        <v>30</v>
      </c>
      <c r="O14" s="9"/>
      <c r="P14" s="10"/>
    </row>
    <row r="15" spans="1:22" x14ac:dyDescent="0.2">
      <c r="B15" s="192"/>
      <c r="C15" s="193"/>
      <c r="D15" s="204" t="s">
        <v>34</v>
      </c>
      <c r="E15" s="205"/>
      <c r="F15" s="55">
        <f>'[2]11-25 payroll'!R7</f>
        <v>0</v>
      </c>
      <c r="G15" s="55"/>
      <c r="H15" s="58"/>
      <c r="I15" s="195"/>
      <c r="J15" s="192"/>
      <c r="K15" s="193"/>
      <c r="L15" s="204" t="s">
        <v>34</v>
      </c>
      <c r="M15" s="205"/>
      <c r="N15" s="9">
        <f>'[2]11-25 payroll'!R8</f>
        <v>0</v>
      </c>
      <c r="O15" s="9"/>
      <c r="P15" s="10"/>
    </row>
    <row r="16" spans="1:22" x14ac:dyDescent="0.2">
      <c r="B16" s="192"/>
      <c r="C16" s="193"/>
      <c r="D16" s="204" t="s">
        <v>292</v>
      </c>
      <c r="E16" s="205"/>
      <c r="F16" s="55">
        <f>'26-10 payroll'!W7</f>
        <v>0</v>
      </c>
      <c r="G16" s="55"/>
      <c r="H16" s="58"/>
      <c r="I16" s="195"/>
      <c r="J16" s="192"/>
      <c r="K16" s="193"/>
      <c r="L16" s="204" t="s">
        <v>292</v>
      </c>
      <c r="M16" s="205"/>
      <c r="N16" s="9">
        <f>'26-10 payroll'!W8</f>
        <v>0</v>
      </c>
      <c r="O16" s="9"/>
      <c r="P16" s="10"/>
    </row>
    <row r="17" spans="1:22" s="187" customFormat="1" x14ac:dyDescent="0.2">
      <c r="A17" s="170"/>
      <c r="B17" s="192"/>
      <c r="C17" s="193"/>
      <c r="D17" s="204" t="s">
        <v>99</v>
      </c>
      <c r="E17" s="205"/>
      <c r="F17" s="59">
        <f>'26-10 payroll'!R35</f>
        <v>477.23076923076917</v>
      </c>
      <c r="G17" s="55"/>
      <c r="H17" s="56">
        <f>SUM(F13:F17)</f>
        <v>477.23076923076917</v>
      </c>
      <c r="I17" s="195"/>
      <c r="J17" s="192"/>
      <c r="K17" s="193"/>
      <c r="L17" s="204" t="s">
        <v>99</v>
      </c>
      <c r="M17" s="205"/>
      <c r="N17" s="11">
        <f>'26-10 payroll'!R36</f>
        <v>230.76923076923077</v>
      </c>
      <c r="O17" s="9"/>
      <c r="P17" s="10">
        <f>SUM(N13:N17)</f>
        <v>260.76923076923077</v>
      </c>
      <c r="T17" s="188"/>
      <c r="U17" s="189"/>
      <c r="V17" s="190"/>
    </row>
    <row r="18" spans="1:22" s="174" customFormat="1" x14ac:dyDescent="0.2">
      <c r="A18" s="170"/>
      <c r="B18" s="192" t="s">
        <v>36</v>
      </c>
      <c r="C18" s="198"/>
      <c r="D18" s="198"/>
      <c r="E18" s="198"/>
      <c r="F18" s="55"/>
      <c r="G18" s="55"/>
      <c r="H18" s="58"/>
      <c r="I18" s="195"/>
      <c r="J18" s="192" t="s">
        <v>36</v>
      </c>
      <c r="K18" s="198"/>
      <c r="L18" s="198"/>
      <c r="M18" s="198"/>
      <c r="N18" s="9"/>
      <c r="O18" s="9"/>
      <c r="P18" s="10"/>
      <c r="T18" s="175"/>
      <c r="U18" s="176"/>
      <c r="V18" s="191"/>
    </row>
    <row r="19" spans="1:22" s="174" customFormat="1" x14ac:dyDescent="0.2">
      <c r="A19" s="170"/>
      <c r="B19" s="192"/>
      <c r="C19" s="198"/>
      <c r="D19" s="206" t="s">
        <v>4</v>
      </c>
      <c r="E19" s="205"/>
      <c r="F19" s="55">
        <v>0</v>
      </c>
      <c r="G19" s="55"/>
      <c r="H19" s="207"/>
      <c r="I19" s="195"/>
      <c r="J19" s="192"/>
      <c r="K19" s="198"/>
      <c r="L19" s="206" t="s">
        <v>4</v>
      </c>
      <c r="M19" s="205"/>
      <c r="N19" s="9">
        <v>0</v>
      </c>
      <c r="O19" s="9"/>
      <c r="P19" s="207"/>
      <c r="T19" s="175"/>
      <c r="U19" s="176"/>
      <c r="V19" s="191"/>
    </row>
    <row r="20" spans="1:22" s="174" customFormat="1" x14ac:dyDescent="0.2">
      <c r="A20" s="170"/>
      <c r="B20" s="192"/>
      <c r="C20" s="198"/>
      <c r="D20" s="206" t="s">
        <v>96</v>
      </c>
      <c r="E20" s="205"/>
      <c r="F20" s="55">
        <f>'26-10 payroll'!K22</f>
        <v>0</v>
      </c>
      <c r="G20" s="55"/>
      <c r="H20" s="207"/>
      <c r="I20" s="195"/>
      <c r="J20" s="192"/>
      <c r="K20" s="198"/>
      <c r="L20" s="206" t="s">
        <v>96</v>
      </c>
      <c r="M20" s="205"/>
      <c r="N20" s="9">
        <f>'26-10 payroll'!K23</f>
        <v>0</v>
      </c>
      <c r="O20" s="9"/>
      <c r="P20" s="207"/>
      <c r="T20" s="175"/>
      <c r="U20" s="176"/>
      <c r="V20" s="191"/>
    </row>
    <row r="21" spans="1:22" x14ac:dyDescent="0.2">
      <c r="B21" s="192"/>
      <c r="C21" s="198"/>
      <c r="D21" s="206" t="s">
        <v>37</v>
      </c>
      <c r="E21" s="205"/>
      <c r="F21" s="55">
        <v>0</v>
      </c>
      <c r="G21" s="55"/>
      <c r="H21" s="207"/>
      <c r="I21" s="195"/>
      <c r="J21" s="192"/>
      <c r="K21" s="198"/>
      <c r="L21" s="206" t="s">
        <v>37</v>
      </c>
      <c r="M21" s="205"/>
      <c r="N21" s="9">
        <v>0</v>
      </c>
      <c r="O21" s="9"/>
      <c r="P21" s="207"/>
    </row>
    <row r="22" spans="1:22" x14ac:dyDescent="0.2">
      <c r="B22" s="192"/>
      <c r="C22" s="198"/>
      <c r="D22" s="206" t="s">
        <v>303</v>
      </c>
      <c r="E22" s="205"/>
      <c r="F22" s="55">
        <f>'26-10 payroll'!G56</f>
        <v>0</v>
      </c>
      <c r="G22" s="55"/>
      <c r="H22" s="207"/>
      <c r="I22" s="195"/>
      <c r="J22" s="192"/>
      <c r="K22" s="198"/>
      <c r="L22" s="206" t="s">
        <v>303</v>
      </c>
      <c r="M22" s="205"/>
      <c r="N22" s="208">
        <f>'26-10 payroll'!G57</f>
        <v>0</v>
      </c>
      <c r="O22" s="9"/>
      <c r="P22" s="207"/>
    </row>
    <row r="23" spans="1:22" x14ac:dyDescent="0.2">
      <c r="B23" s="192"/>
      <c r="C23" s="198"/>
      <c r="D23" s="206" t="s">
        <v>297</v>
      </c>
      <c r="E23" s="205"/>
      <c r="F23" s="55">
        <f>'26-10 payroll'!H56</f>
        <v>0</v>
      </c>
      <c r="G23" s="55"/>
      <c r="H23" s="207"/>
      <c r="I23" s="195"/>
      <c r="J23" s="192"/>
      <c r="K23" s="198"/>
      <c r="L23" s="206" t="s">
        <v>297</v>
      </c>
      <c r="M23" s="205"/>
      <c r="N23" s="9">
        <f>'26-10 payroll'!H57</f>
        <v>0</v>
      </c>
      <c r="O23" s="9"/>
      <c r="P23" s="207"/>
    </row>
    <row r="24" spans="1:22" x14ac:dyDescent="0.2">
      <c r="B24" s="192"/>
      <c r="C24" s="198"/>
      <c r="D24" s="198" t="s">
        <v>43</v>
      </c>
      <c r="E24" s="205"/>
      <c r="F24" s="55">
        <f>'26-10 payroll'!D56</f>
        <v>0</v>
      </c>
      <c r="G24" s="55"/>
      <c r="H24" s="207"/>
      <c r="I24" s="195"/>
      <c r="J24" s="192"/>
      <c r="K24" s="198"/>
      <c r="L24" s="198" t="s">
        <v>43</v>
      </c>
      <c r="M24" s="205"/>
      <c r="N24" s="9">
        <f>'26-10 payroll'!D57</f>
        <v>0</v>
      </c>
      <c r="O24" s="9"/>
      <c r="P24" s="207"/>
    </row>
    <row r="25" spans="1:22" s="187" customFormat="1" x14ac:dyDescent="0.2">
      <c r="A25" s="170"/>
      <c r="B25" s="192"/>
      <c r="C25" s="198"/>
      <c r="D25" s="206" t="s">
        <v>39</v>
      </c>
      <c r="E25" s="205"/>
      <c r="F25" s="55">
        <f>'26-10 payroll'!H22</f>
        <v>0</v>
      </c>
      <c r="G25" s="55"/>
      <c r="H25" s="209"/>
      <c r="I25" s="195"/>
      <c r="J25" s="192"/>
      <c r="K25" s="198"/>
      <c r="L25" s="206" t="s">
        <v>39</v>
      </c>
      <c r="M25" s="205"/>
      <c r="N25" s="9">
        <f>'26-10 payroll'!H23</f>
        <v>0</v>
      </c>
      <c r="O25" s="9"/>
      <c r="P25" s="209"/>
      <c r="R25" s="210"/>
      <c r="T25" s="188"/>
      <c r="U25" s="189"/>
      <c r="V25" s="190"/>
    </row>
    <row r="26" spans="1:22" s="187" customFormat="1" x14ac:dyDescent="0.2">
      <c r="A26" s="170"/>
      <c r="B26" s="192"/>
      <c r="C26" s="198"/>
      <c r="D26" s="206" t="s">
        <v>97</v>
      </c>
      <c r="E26" s="205"/>
      <c r="F26" s="55">
        <f>'26-10 payroll'!N22</f>
        <v>0</v>
      </c>
      <c r="G26" s="55"/>
      <c r="H26" s="209"/>
      <c r="I26" s="195"/>
      <c r="J26" s="192"/>
      <c r="K26" s="198"/>
      <c r="L26" s="206" t="s">
        <v>97</v>
      </c>
      <c r="M26" s="205"/>
      <c r="N26" s="9">
        <f>'26-10 payroll'!N23</f>
        <v>0</v>
      </c>
      <c r="O26" s="9"/>
      <c r="P26" s="209"/>
      <c r="R26" s="210"/>
      <c r="T26" s="188"/>
      <c r="U26" s="189"/>
      <c r="V26" s="190"/>
    </row>
    <row r="27" spans="1:22" s="187" customFormat="1" x14ac:dyDescent="0.2">
      <c r="A27" s="170"/>
      <c r="B27" s="192"/>
      <c r="C27" s="198"/>
      <c r="D27" s="198" t="s">
        <v>6</v>
      </c>
      <c r="E27" s="205"/>
      <c r="F27" s="55">
        <f>'26-10 payroll'!M22</f>
        <v>0</v>
      </c>
      <c r="G27" s="55"/>
      <c r="H27" s="211">
        <f>-SUM(F19:F27)</f>
        <v>0</v>
      </c>
      <c r="I27" s="195"/>
      <c r="J27" s="192"/>
      <c r="K27" s="198"/>
      <c r="L27" s="198" t="s">
        <v>6</v>
      </c>
      <c r="M27" s="205"/>
      <c r="N27" s="9">
        <f>'26-10 payroll'!M23</f>
        <v>0</v>
      </c>
      <c r="O27" s="9"/>
      <c r="P27" s="211">
        <f>-SUM(N19:N27)</f>
        <v>0</v>
      </c>
      <c r="T27" s="188"/>
      <c r="U27" s="189"/>
      <c r="V27" s="190"/>
    </row>
    <row r="28" spans="1:22" s="174" customFormat="1" ht="13.5" thickBot="1" x14ac:dyDescent="0.25">
      <c r="B28" s="197" t="s">
        <v>40</v>
      </c>
      <c r="C28" s="212"/>
      <c r="D28" s="212"/>
      <c r="E28" s="212"/>
      <c r="F28" s="60"/>
      <c r="G28" s="60"/>
      <c r="H28" s="213">
        <f>SUM(H10:H27)</f>
        <v>3699.2307692307691</v>
      </c>
      <c r="I28" s="214"/>
      <c r="J28" s="197" t="s">
        <v>40</v>
      </c>
      <c r="K28" s="212"/>
      <c r="L28" s="212"/>
      <c r="M28" s="212"/>
      <c r="N28" s="12"/>
      <c r="O28" s="12"/>
      <c r="P28" s="213">
        <f>SUM(P10:P27)</f>
        <v>1841.7692307692307</v>
      </c>
      <c r="R28" s="215"/>
      <c r="T28" s="216">
        <f>+H28-'[2]11-25 payroll'!S35</f>
        <v>-2068.3743713942299</v>
      </c>
      <c r="U28" s="217"/>
      <c r="V28" s="218">
        <f>+P28-'[2]11-25 payroll'!S36</f>
        <v>-4671.7287223557696</v>
      </c>
    </row>
    <row r="29" spans="1:22" s="187" customFormat="1" ht="13.5" thickTop="1" x14ac:dyDescent="0.2">
      <c r="A29" s="170"/>
      <c r="B29" s="192" t="s">
        <v>41</v>
      </c>
      <c r="C29" s="198"/>
      <c r="D29" s="198"/>
      <c r="E29" s="198"/>
      <c r="F29" s="55"/>
      <c r="G29" s="55"/>
      <c r="H29" s="194"/>
      <c r="I29" s="195"/>
      <c r="J29" s="192" t="s">
        <v>41</v>
      </c>
      <c r="K29" s="198"/>
      <c r="L29" s="198"/>
      <c r="M29" s="198"/>
      <c r="N29" s="9"/>
      <c r="O29" s="9"/>
      <c r="P29" s="194"/>
      <c r="T29" s="188"/>
      <c r="U29" s="189"/>
      <c r="V29" s="190"/>
    </row>
    <row r="30" spans="1:22" s="174" customFormat="1" x14ac:dyDescent="0.2">
      <c r="A30" s="170"/>
      <c r="B30" s="192"/>
      <c r="C30" s="198"/>
      <c r="D30" s="198"/>
      <c r="E30" s="198"/>
      <c r="F30" s="55"/>
      <c r="G30" s="55"/>
      <c r="H30" s="194"/>
      <c r="I30" s="195"/>
      <c r="J30" s="192"/>
      <c r="K30" s="198"/>
      <c r="L30" s="198"/>
      <c r="M30" s="198"/>
      <c r="N30" s="9"/>
      <c r="O30" s="9"/>
      <c r="P30" s="194"/>
      <c r="T30" s="175"/>
      <c r="U30" s="176"/>
      <c r="V30" s="191"/>
    </row>
    <row r="31" spans="1:22" s="174" customFormat="1" x14ac:dyDescent="0.2">
      <c r="A31" s="170"/>
      <c r="B31" s="192" t="s">
        <v>42</v>
      </c>
      <c r="C31" s="198"/>
      <c r="D31" s="198"/>
      <c r="E31" s="198"/>
      <c r="F31" s="61"/>
      <c r="G31" s="61"/>
      <c r="H31" s="194"/>
      <c r="I31" s="219"/>
      <c r="J31" s="192" t="s">
        <v>42</v>
      </c>
      <c r="K31" s="198"/>
      <c r="L31" s="198"/>
      <c r="M31" s="198"/>
      <c r="N31" s="13"/>
      <c r="O31" s="13"/>
      <c r="P31" s="194"/>
      <c r="T31" s="175"/>
      <c r="U31" s="176"/>
      <c r="V31" s="191"/>
    </row>
    <row r="32" spans="1:22" ht="13.5" thickBot="1" x14ac:dyDescent="0.25">
      <c r="B32" s="220"/>
      <c r="C32" s="221"/>
      <c r="D32" s="221"/>
      <c r="E32" s="221"/>
      <c r="F32" s="52"/>
      <c r="G32" s="52"/>
      <c r="H32" s="222"/>
      <c r="I32" s="223"/>
      <c r="J32" s="224"/>
      <c r="K32" s="225"/>
      <c r="L32" s="225"/>
      <c r="M32" s="225"/>
      <c r="N32" s="14"/>
      <c r="O32" s="14"/>
      <c r="P32" s="226"/>
    </row>
    <row r="33" spans="2:17" x14ac:dyDescent="0.2">
      <c r="J33" s="170"/>
      <c r="K33" s="228"/>
      <c r="L33" s="228"/>
      <c r="M33" s="228"/>
      <c r="N33" s="7"/>
      <c r="O33" s="7"/>
      <c r="P33" s="228"/>
    </row>
    <row r="34" spans="2:17" ht="13.5" thickBot="1" x14ac:dyDescent="0.25">
      <c r="B34" s="171">
        <v>3</v>
      </c>
      <c r="C34" s="172"/>
      <c r="D34" s="172"/>
      <c r="E34" s="172"/>
      <c r="F34" s="172"/>
      <c r="G34" s="172"/>
      <c r="H34" s="172"/>
      <c r="J34" s="173">
        <v>4</v>
      </c>
    </row>
    <row r="35" spans="2:17" x14ac:dyDescent="0.2">
      <c r="B35" s="440" t="str">
        <f>'[2]11-25 payroll'!A1</f>
        <v>THE OLD SPAGHETTI HOUSE</v>
      </c>
      <c r="C35" s="441"/>
      <c r="D35" s="441"/>
      <c r="E35" s="441"/>
      <c r="F35" s="441"/>
      <c r="G35" s="441"/>
      <c r="H35" s="442"/>
      <c r="I35" s="178"/>
      <c r="J35" s="440" t="str">
        <f>'[2]11-25 payroll'!A1</f>
        <v>THE OLD SPAGHETTI HOUSE</v>
      </c>
      <c r="K35" s="441"/>
      <c r="L35" s="441"/>
      <c r="M35" s="441"/>
      <c r="N35" s="441"/>
      <c r="O35" s="441"/>
      <c r="P35" s="442"/>
    </row>
    <row r="36" spans="2:17" x14ac:dyDescent="0.2">
      <c r="B36" s="443" t="str">
        <f>'[2]11-25 payroll'!D2</f>
        <v>VALERO</v>
      </c>
      <c r="C36" s="444"/>
      <c r="D36" s="444"/>
      <c r="E36" s="444"/>
      <c r="F36" s="444"/>
      <c r="G36" s="444"/>
      <c r="H36" s="445"/>
      <c r="I36" s="178"/>
      <c r="J36" s="443" t="str">
        <f>'[2]11-25 payroll'!D2</f>
        <v>VALERO</v>
      </c>
      <c r="K36" s="444"/>
      <c r="L36" s="444"/>
      <c r="M36" s="444"/>
      <c r="N36" s="444"/>
      <c r="O36" s="444"/>
      <c r="P36" s="445"/>
      <c r="Q36" s="179"/>
    </row>
    <row r="37" spans="2:17" x14ac:dyDescent="0.2">
      <c r="B37" s="183"/>
      <c r="C37" s="184"/>
      <c r="D37" s="184"/>
      <c r="E37" s="184"/>
      <c r="F37" s="54"/>
      <c r="G37" s="54"/>
      <c r="H37" s="185"/>
      <c r="I37" s="186"/>
      <c r="J37" s="183"/>
      <c r="K37" s="184"/>
      <c r="L37" s="184"/>
      <c r="M37" s="184"/>
      <c r="N37" s="8"/>
      <c r="O37" s="8"/>
      <c r="P37" s="185"/>
      <c r="Q37" s="187"/>
    </row>
    <row r="38" spans="2:17" x14ac:dyDescent="0.2">
      <c r="B38" s="446" t="s">
        <v>25</v>
      </c>
      <c r="C38" s="447"/>
      <c r="D38" s="447"/>
      <c r="E38" s="447"/>
      <c r="F38" s="447"/>
      <c r="G38" s="447"/>
      <c r="H38" s="448"/>
      <c r="I38" s="178"/>
      <c r="J38" s="446" t="s">
        <v>25</v>
      </c>
      <c r="K38" s="447"/>
      <c r="L38" s="447"/>
      <c r="M38" s="447"/>
      <c r="N38" s="447"/>
      <c r="O38" s="447"/>
      <c r="P38" s="448"/>
      <c r="Q38" s="174"/>
    </row>
    <row r="39" spans="2:17" x14ac:dyDescent="0.2">
      <c r="B39" s="183"/>
      <c r="C39" s="184"/>
      <c r="D39" s="184"/>
      <c r="E39" s="184"/>
      <c r="F39" s="54"/>
      <c r="G39" s="54"/>
      <c r="H39" s="185"/>
      <c r="I39" s="186"/>
      <c r="J39" s="183"/>
      <c r="K39" s="184"/>
      <c r="L39" s="184"/>
      <c r="M39" s="184"/>
      <c r="N39" s="8"/>
      <c r="O39" s="8"/>
      <c r="P39" s="185"/>
      <c r="Q39" s="187"/>
    </row>
    <row r="40" spans="2:17" x14ac:dyDescent="0.2">
      <c r="B40" s="192" t="s">
        <v>26</v>
      </c>
      <c r="C40" s="193" t="s">
        <v>27</v>
      </c>
      <c r="D40" s="437" t="str">
        <f>'[2]11-25 payroll'!B24</f>
        <v>Dino, Joyce</v>
      </c>
      <c r="E40" s="437"/>
      <c r="F40" s="437"/>
      <c r="G40" s="55"/>
      <c r="H40" s="194"/>
      <c r="I40" s="195"/>
      <c r="J40" s="192" t="s">
        <v>26</v>
      </c>
      <c r="K40" s="193" t="s">
        <v>27</v>
      </c>
      <c r="L40" s="436" t="str">
        <f>'[2]11-25 payroll'!B10</f>
        <v xml:space="preserve">Sosa, Anna Marie </v>
      </c>
      <c r="M40" s="437"/>
      <c r="N40" s="437"/>
      <c r="O40" s="9"/>
      <c r="P40" s="194"/>
    </row>
    <row r="41" spans="2:17" x14ac:dyDescent="0.2">
      <c r="B41" s="192" t="s">
        <v>28</v>
      </c>
      <c r="C41" s="193" t="s">
        <v>27</v>
      </c>
      <c r="D41" s="438">
        <f>'[2]11-25 payroll'!E9</f>
        <v>790.23076923076928</v>
      </c>
      <c r="E41" s="438"/>
      <c r="F41" s="438"/>
      <c r="G41" s="55"/>
      <c r="H41" s="356"/>
      <c r="I41" s="195"/>
      <c r="J41" s="192" t="s">
        <v>28</v>
      </c>
      <c r="K41" s="193" t="s">
        <v>27</v>
      </c>
      <c r="L41" s="438">
        <v>527</v>
      </c>
      <c r="M41" s="438"/>
      <c r="N41" s="438"/>
      <c r="O41" s="9"/>
      <c r="P41" s="356"/>
    </row>
    <row r="42" spans="2:17" x14ac:dyDescent="0.2">
      <c r="B42" s="192" t="s">
        <v>29</v>
      </c>
      <c r="C42" s="193" t="s">
        <v>27</v>
      </c>
      <c r="D42" s="439" t="str">
        <f>'26-10 payroll'!D3</f>
        <v>September 28-Oct 03, 2020</v>
      </c>
      <c r="E42" s="439"/>
      <c r="F42" s="439"/>
      <c r="G42" s="55"/>
      <c r="H42" s="194"/>
      <c r="I42" s="195"/>
      <c r="J42" s="192" t="s">
        <v>29</v>
      </c>
      <c r="K42" s="193" t="s">
        <v>27</v>
      </c>
      <c r="L42" s="439" t="s">
        <v>302</v>
      </c>
      <c r="M42" s="439"/>
      <c r="N42" s="439"/>
      <c r="O42" s="9"/>
      <c r="P42" s="194"/>
      <c r="Q42" s="187"/>
    </row>
    <row r="43" spans="2:17" x14ac:dyDescent="0.2">
      <c r="B43" s="197" t="s">
        <v>16</v>
      </c>
      <c r="C43" s="198"/>
      <c r="D43" s="199"/>
      <c r="E43" s="200"/>
      <c r="F43" s="201"/>
      <c r="G43" s="55"/>
      <c r="H43" s="56">
        <f>'26-10 payroll'!G9</f>
        <v>0</v>
      </c>
      <c r="I43" s="195"/>
      <c r="J43" s="197" t="s">
        <v>16</v>
      </c>
      <c r="K43" s="198"/>
      <c r="L43" s="199"/>
      <c r="M43" s="200"/>
      <c r="N43" s="9"/>
      <c r="O43" s="9"/>
      <c r="P43" s="10">
        <v>6851</v>
      </c>
      <c r="Q43" s="174"/>
    </row>
    <row r="44" spans="2:17" x14ac:dyDescent="0.2">
      <c r="B44" s="192"/>
      <c r="C44" s="198"/>
      <c r="D44" s="200" t="s">
        <v>31</v>
      </c>
      <c r="E44" s="202">
        <f>'26-10 payroll'!F9</f>
        <v>0</v>
      </c>
      <c r="F44" s="57" t="s">
        <v>90</v>
      </c>
      <c r="G44" s="55"/>
      <c r="H44" s="58"/>
      <c r="I44" s="195"/>
      <c r="J44" s="192"/>
      <c r="K44" s="198"/>
      <c r="L44" s="200" t="s">
        <v>31</v>
      </c>
      <c r="M44" s="203">
        <f>'26-10 payroll'!F10</f>
        <v>6</v>
      </c>
      <c r="N44" s="50" t="s">
        <v>90</v>
      </c>
      <c r="O44" s="9"/>
      <c r="P44" s="10"/>
      <c r="Q44" s="174"/>
    </row>
    <row r="45" spans="2:17" x14ac:dyDescent="0.2">
      <c r="B45" s="183"/>
      <c r="C45" s="184"/>
      <c r="D45" s="184"/>
      <c r="E45" s="184"/>
      <c r="F45" s="54"/>
      <c r="G45" s="54"/>
      <c r="H45" s="185"/>
      <c r="I45" s="186"/>
      <c r="J45" s="183"/>
      <c r="K45" s="184"/>
      <c r="L45" s="184"/>
      <c r="M45" s="184"/>
      <c r="N45" s="8"/>
      <c r="O45" s="8"/>
      <c r="P45" s="185"/>
      <c r="Q45" s="187"/>
    </row>
    <row r="46" spans="2:17" x14ac:dyDescent="0.2">
      <c r="B46" s="192" t="s">
        <v>32</v>
      </c>
      <c r="C46" s="193"/>
      <c r="D46" s="204" t="s">
        <v>33</v>
      </c>
      <c r="E46" s="205"/>
      <c r="F46" s="55">
        <f>'26-10 payroll'!P9</f>
        <v>0</v>
      </c>
      <c r="G46" s="55"/>
      <c r="H46" s="58"/>
      <c r="I46" s="195"/>
      <c r="J46" s="192" t="s">
        <v>32</v>
      </c>
      <c r="K46" s="193"/>
      <c r="L46" s="204" t="s">
        <v>33</v>
      </c>
      <c r="M46" s="205"/>
      <c r="N46" s="9">
        <f>'26-10 payroll'!P10</f>
        <v>0</v>
      </c>
      <c r="O46" s="9"/>
      <c r="P46" s="10"/>
    </row>
    <row r="47" spans="2:17" x14ac:dyDescent="0.2">
      <c r="B47" s="192"/>
      <c r="C47" s="193"/>
      <c r="D47" s="204" t="s">
        <v>95</v>
      </c>
      <c r="E47" s="205"/>
      <c r="F47" s="55">
        <f>'26-10 payroll'!H9</f>
        <v>0</v>
      </c>
      <c r="G47" s="55"/>
      <c r="H47" s="58"/>
      <c r="I47" s="195"/>
      <c r="J47" s="192"/>
      <c r="K47" s="193"/>
      <c r="L47" s="204" t="s">
        <v>95</v>
      </c>
      <c r="M47" s="205"/>
      <c r="N47" s="9">
        <f>'26-10 payroll'!H10</f>
        <v>60</v>
      </c>
      <c r="O47" s="9"/>
      <c r="P47" s="10"/>
    </row>
    <row r="48" spans="2:17" x14ac:dyDescent="0.2">
      <c r="B48" s="192"/>
      <c r="C48" s="193"/>
      <c r="D48" s="204" t="s">
        <v>34</v>
      </c>
      <c r="E48" s="205"/>
      <c r="F48" s="55">
        <f>'[2]11-25 payroll'!R9</f>
        <v>0</v>
      </c>
      <c r="G48" s="55"/>
      <c r="H48" s="58"/>
      <c r="I48" s="195"/>
      <c r="J48" s="192"/>
      <c r="K48" s="193"/>
      <c r="L48" s="204" t="s">
        <v>34</v>
      </c>
      <c r="M48" s="205"/>
      <c r="N48" s="9">
        <f>'[2]11-25 payroll'!R10</f>
        <v>0</v>
      </c>
      <c r="O48" s="9"/>
      <c r="P48" s="10"/>
    </row>
    <row r="49" spans="1:22" x14ac:dyDescent="0.2">
      <c r="B49" s="192"/>
      <c r="C49" s="193"/>
      <c r="D49" s="204" t="s">
        <v>292</v>
      </c>
      <c r="E49" s="205"/>
      <c r="F49" s="55">
        <f>'26-10 payroll'!W9</f>
        <v>0</v>
      </c>
      <c r="G49" s="55"/>
      <c r="H49" s="58"/>
      <c r="I49" s="195"/>
      <c r="J49" s="192"/>
      <c r="K49" s="193"/>
      <c r="L49" s="204" t="s">
        <v>292</v>
      </c>
      <c r="M49" s="205"/>
      <c r="N49" s="9">
        <f>'26-10 payroll'!W10</f>
        <v>0</v>
      </c>
      <c r="O49" s="9"/>
      <c r="P49" s="10"/>
    </row>
    <row r="50" spans="1:22" x14ac:dyDescent="0.2">
      <c r="B50" s="192"/>
      <c r="C50" s="193"/>
      <c r="D50" s="204" t="s">
        <v>99</v>
      </c>
      <c r="E50" s="205"/>
      <c r="F50" s="59">
        <f>'26-10 payroll'!R37</f>
        <v>0</v>
      </c>
      <c r="G50" s="55"/>
      <c r="H50" s="56">
        <f>SUM(F46:F50)</f>
        <v>0</v>
      </c>
      <c r="I50" s="195"/>
      <c r="J50" s="192"/>
      <c r="K50" s="193"/>
      <c r="L50" s="204" t="s">
        <v>99</v>
      </c>
      <c r="M50" s="205"/>
      <c r="N50" s="11">
        <f>150+884+19.75</f>
        <v>1053.75</v>
      </c>
      <c r="O50" s="9"/>
      <c r="P50" s="10">
        <f>SUM(N46:N50)</f>
        <v>1113.75</v>
      </c>
      <c r="Q50" s="187"/>
    </row>
    <row r="51" spans="1:22" x14ac:dyDescent="0.2">
      <c r="B51" s="192" t="s">
        <v>36</v>
      </c>
      <c r="C51" s="198"/>
      <c r="D51" s="198"/>
      <c r="E51" s="198"/>
      <c r="F51" s="55"/>
      <c r="G51" s="55"/>
      <c r="H51" s="58"/>
      <c r="I51" s="195"/>
      <c r="J51" s="192" t="s">
        <v>36</v>
      </c>
      <c r="K51" s="198"/>
      <c r="L51" s="198"/>
      <c r="M51" s="198"/>
      <c r="N51" s="9"/>
      <c r="O51" s="9"/>
      <c r="P51" s="10"/>
      <c r="Q51" s="174"/>
    </row>
    <row r="52" spans="1:22" x14ac:dyDescent="0.2">
      <c r="B52" s="192"/>
      <c r="C52" s="198"/>
      <c r="D52" s="206" t="s">
        <v>4</v>
      </c>
      <c r="E52" s="205"/>
      <c r="F52" s="55">
        <f>'26-10 payroll'!J24</f>
        <v>0</v>
      </c>
      <c r="G52" s="55"/>
      <c r="H52" s="207"/>
      <c r="I52" s="195"/>
      <c r="J52" s="192"/>
      <c r="K52" s="198"/>
      <c r="L52" s="206" t="s">
        <v>4</v>
      </c>
      <c r="M52" s="205"/>
      <c r="N52" s="9">
        <v>0</v>
      </c>
      <c r="O52" s="9"/>
      <c r="P52" s="207"/>
      <c r="Q52" s="174"/>
    </row>
    <row r="53" spans="1:22" x14ac:dyDescent="0.2">
      <c r="B53" s="192"/>
      <c r="C53" s="198"/>
      <c r="D53" s="206" t="s">
        <v>96</v>
      </c>
      <c r="E53" s="205"/>
      <c r="F53" s="55">
        <f>'26-10 payroll'!K24</f>
        <v>0</v>
      </c>
      <c r="G53" s="55"/>
      <c r="H53" s="207"/>
      <c r="I53" s="195"/>
      <c r="J53" s="192"/>
      <c r="K53" s="198"/>
      <c r="L53" s="206" t="s">
        <v>96</v>
      </c>
      <c r="M53" s="205"/>
      <c r="N53" s="9">
        <f>'26-10 payroll'!K25</f>
        <v>0</v>
      </c>
      <c r="O53" s="9"/>
      <c r="P53" s="207"/>
      <c r="Q53" s="174"/>
    </row>
    <row r="54" spans="1:22" x14ac:dyDescent="0.2">
      <c r="B54" s="192"/>
      <c r="C54" s="198"/>
      <c r="D54" s="206" t="s">
        <v>37</v>
      </c>
      <c r="E54" s="205"/>
      <c r="F54" s="55">
        <v>0</v>
      </c>
      <c r="G54" s="55"/>
      <c r="H54" s="207"/>
      <c r="I54" s="195"/>
      <c r="J54" s="192"/>
      <c r="K54" s="198"/>
      <c r="L54" s="206" t="s">
        <v>37</v>
      </c>
      <c r="M54" s="205"/>
      <c r="N54" s="9">
        <v>0</v>
      </c>
      <c r="O54" s="9"/>
      <c r="P54" s="207"/>
    </row>
    <row r="55" spans="1:22" x14ac:dyDescent="0.2">
      <c r="B55" s="192"/>
      <c r="C55" s="198"/>
      <c r="D55" s="206" t="s">
        <v>303</v>
      </c>
      <c r="E55" s="205"/>
      <c r="F55" s="55">
        <f>'26-10 payroll'!G58</f>
        <v>0</v>
      </c>
      <c r="G55" s="55"/>
      <c r="H55" s="207"/>
      <c r="I55" s="195"/>
      <c r="J55" s="192"/>
      <c r="K55" s="198"/>
      <c r="L55" s="206" t="s">
        <v>297</v>
      </c>
      <c r="M55" s="205"/>
      <c r="N55" s="9">
        <f>'26-10 payroll'!H59</f>
        <v>0</v>
      </c>
      <c r="O55" s="9"/>
      <c r="P55" s="207"/>
    </row>
    <row r="56" spans="1:22" x14ac:dyDescent="0.2">
      <c r="B56" s="192"/>
      <c r="C56" s="198"/>
      <c r="D56" s="206" t="s">
        <v>98</v>
      </c>
      <c r="E56" s="205"/>
      <c r="F56" s="55">
        <f>'26-10 payroll'!F58</f>
        <v>0</v>
      </c>
      <c r="G56" s="55"/>
      <c r="H56" s="207"/>
      <c r="I56" s="195"/>
      <c r="J56" s="192"/>
      <c r="K56" s="198"/>
      <c r="L56" s="206" t="s">
        <v>303</v>
      </c>
      <c r="M56" s="205"/>
      <c r="N56" s="9">
        <f>'26-10 payroll'!G59</f>
        <v>0</v>
      </c>
      <c r="O56" s="9"/>
      <c r="P56" s="207"/>
    </row>
    <row r="57" spans="1:22" x14ac:dyDescent="0.2">
      <c r="B57" s="192"/>
      <c r="C57" s="198"/>
      <c r="D57" s="198" t="s">
        <v>43</v>
      </c>
      <c r="E57" s="205"/>
      <c r="F57" s="55">
        <f>'26-10 payroll'!D58</f>
        <v>0</v>
      </c>
      <c r="G57" s="55"/>
      <c r="H57" s="207"/>
      <c r="I57" s="195"/>
      <c r="J57" s="192"/>
      <c r="K57" s="198"/>
      <c r="L57" s="198" t="s">
        <v>43</v>
      </c>
      <c r="M57" s="205"/>
      <c r="N57" s="9">
        <f>'26-10 payroll'!D59</f>
        <v>0</v>
      </c>
      <c r="O57" s="9"/>
      <c r="P57" s="207"/>
    </row>
    <row r="58" spans="1:22" x14ac:dyDescent="0.2">
      <c r="B58" s="192"/>
      <c r="C58" s="198"/>
      <c r="D58" s="206" t="s">
        <v>39</v>
      </c>
      <c r="E58" s="205"/>
      <c r="F58" s="55"/>
      <c r="G58" s="55"/>
      <c r="H58" s="209"/>
      <c r="I58" s="195"/>
      <c r="J58" s="192"/>
      <c r="K58" s="198"/>
      <c r="L58" s="206" t="s">
        <v>39</v>
      </c>
      <c r="M58" s="205"/>
      <c r="N58" s="9">
        <f>'26-10 payroll'!H25+'26-10 payroll'!F25</f>
        <v>0</v>
      </c>
      <c r="O58" s="9"/>
      <c r="P58" s="209"/>
      <c r="Q58" s="187"/>
    </row>
    <row r="59" spans="1:22" x14ac:dyDescent="0.2">
      <c r="B59" s="192"/>
      <c r="C59" s="198"/>
      <c r="D59" s="206" t="s">
        <v>97</v>
      </c>
      <c r="E59" s="205"/>
      <c r="F59" s="55">
        <f>'26-10 payroll'!N24</f>
        <v>0</v>
      </c>
      <c r="G59" s="55"/>
      <c r="H59" s="209"/>
      <c r="I59" s="195"/>
      <c r="J59" s="192"/>
      <c r="K59" s="198"/>
      <c r="L59" s="206" t="s">
        <v>97</v>
      </c>
      <c r="M59" s="205"/>
      <c r="N59" s="9">
        <f>'26-10 payroll'!N25</f>
        <v>0</v>
      </c>
      <c r="O59" s="9"/>
      <c r="P59" s="209"/>
      <c r="Q59" s="187"/>
    </row>
    <row r="60" spans="1:22" x14ac:dyDescent="0.2">
      <c r="B60" s="192"/>
      <c r="C60" s="198"/>
      <c r="D60" s="198" t="s">
        <v>6</v>
      </c>
      <c r="E60" s="205"/>
      <c r="F60" s="55">
        <f>'26-10 payroll'!M24</f>
        <v>0</v>
      </c>
      <c r="G60" s="55"/>
      <c r="H60" s="211">
        <f>-SUM(F52:F60)</f>
        <v>0</v>
      </c>
      <c r="I60" s="195"/>
      <c r="J60" s="192"/>
      <c r="K60" s="198"/>
      <c r="L60" s="198" t="s">
        <v>6</v>
      </c>
      <c r="M60" s="205"/>
      <c r="N60" s="9">
        <f>'26-10 payroll'!M25</f>
        <v>0</v>
      </c>
      <c r="O60" s="9"/>
      <c r="P60" s="211">
        <f>-SUM(N52:N60)</f>
        <v>0</v>
      </c>
      <c r="Q60" s="187"/>
    </row>
    <row r="61" spans="1:22" ht="13.5" thickBot="1" x14ac:dyDescent="0.25">
      <c r="A61" s="174"/>
      <c r="B61" s="197" t="s">
        <v>40</v>
      </c>
      <c r="C61" s="212"/>
      <c r="D61" s="212"/>
      <c r="E61" s="212"/>
      <c r="F61" s="60"/>
      <c r="G61" s="60"/>
      <c r="H61" s="213">
        <f>SUM(H43:H60)</f>
        <v>0</v>
      </c>
      <c r="I61" s="214"/>
      <c r="J61" s="197" t="s">
        <v>40</v>
      </c>
      <c r="K61" s="212"/>
      <c r="L61" s="212"/>
      <c r="M61" s="212"/>
      <c r="N61" s="12"/>
      <c r="O61" s="12"/>
      <c r="P61" s="213">
        <f>SUM(P43:P60)</f>
        <v>7964.75</v>
      </c>
      <c r="Q61" s="174"/>
      <c r="T61" s="216">
        <f>+H61-'[2]11-25 payroll'!S37</f>
        <v>-8807.3906937499996</v>
      </c>
      <c r="V61" s="237">
        <f>+P61-'[2]11-25 payroll'!S38</f>
        <v>2112.1664989583332</v>
      </c>
    </row>
    <row r="62" spans="1:22" ht="13.5" thickTop="1" x14ac:dyDescent="0.2">
      <c r="B62" s="192" t="s">
        <v>41</v>
      </c>
      <c r="C62" s="198"/>
      <c r="D62" s="198"/>
      <c r="E62" s="198"/>
      <c r="F62" s="55"/>
      <c r="G62" s="55"/>
      <c r="H62" s="194"/>
      <c r="I62" s="195"/>
      <c r="J62" s="192" t="s">
        <v>41</v>
      </c>
      <c r="K62" s="198"/>
      <c r="L62" s="198"/>
      <c r="M62" s="198"/>
      <c r="N62" s="9"/>
      <c r="O62" s="9"/>
      <c r="P62" s="194"/>
      <c r="Q62" s="187"/>
    </row>
    <row r="63" spans="1:22" x14ac:dyDescent="0.2">
      <c r="B63" s="192"/>
      <c r="C63" s="198"/>
      <c r="D63" s="198"/>
      <c r="E63" s="198"/>
      <c r="F63" s="55"/>
      <c r="G63" s="55"/>
      <c r="H63" s="194"/>
      <c r="I63" s="195"/>
      <c r="J63" s="192"/>
      <c r="K63" s="198"/>
      <c r="L63" s="198"/>
      <c r="M63" s="198"/>
      <c r="N63" s="9"/>
      <c r="O63" s="9"/>
      <c r="P63" s="194"/>
      <c r="Q63" s="174"/>
    </row>
    <row r="64" spans="1:22" x14ac:dyDescent="0.2">
      <c r="B64" s="192" t="s">
        <v>42</v>
      </c>
      <c r="C64" s="198"/>
      <c r="D64" s="198"/>
      <c r="E64" s="198"/>
      <c r="F64" s="61"/>
      <c r="G64" s="61"/>
      <c r="H64" s="194"/>
      <c r="I64" s="219"/>
      <c r="J64" s="192" t="s">
        <v>42</v>
      </c>
      <c r="K64" s="198"/>
      <c r="L64" s="198"/>
      <c r="M64" s="198"/>
      <c r="N64" s="13"/>
      <c r="O64" s="13"/>
      <c r="P64" s="194"/>
      <c r="Q64" s="174"/>
    </row>
    <row r="65" spans="2:17" ht="13.5" thickBot="1" x14ac:dyDescent="0.25">
      <c r="B65" s="229"/>
      <c r="C65" s="230"/>
      <c r="D65" s="230"/>
      <c r="E65" s="230"/>
      <c r="F65" s="62"/>
      <c r="G65" s="62"/>
      <c r="H65" s="231"/>
      <c r="I65" s="223"/>
      <c r="J65" s="224"/>
      <c r="K65" s="225"/>
      <c r="L65" s="225"/>
      <c r="M65" s="225"/>
      <c r="N65" s="14"/>
      <c r="O65" s="14"/>
      <c r="P65" s="226"/>
    </row>
    <row r="66" spans="2:17" x14ac:dyDescent="0.2">
      <c r="J66" s="170"/>
      <c r="K66" s="228"/>
      <c r="L66" s="228"/>
      <c r="M66" s="228"/>
      <c r="N66" s="7"/>
      <c r="O66" s="7"/>
      <c r="P66" s="228"/>
    </row>
    <row r="67" spans="2:17" ht="13.5" thickBot="1" x14ac:dyDescent="0.25">
      <c r="B67" s="171">
        <v>5</v>
      </c>
      <c r="C67" s="172"/>
      <c r="D67" s="172"/>
      <c r="E67" s="172"/>
      <c r="F67" s="172"/>
      <c r="G67" s="172"/>
      <c r="H67" s="172"/>
      <c r="J67" s="173">
        <v>6</v>
      </c>
    </row>
    <row r="68" spans="2:17" x14ac:dyDescent="0.2">
      <c r="B68" s="440" t="str">
        <f>'[2]11-25 payroll'!A1</f>
        <v>THE OLD SPAGHETTI HOUSE</v>
      </c>
      <c r="C68" s="441"/>
      <c r="D68" s="441"/>
      <c r="E68" s="441"/>
      <c r="F68" s="441"/>
      <c r="G68" s="441"/>
      <c r="H68" s="442"/>
      <c r="I68" s="178"/>
      <c r="J68" s="440" t="str">
        <f>'[2]11-25 payroll'!A1</f>
        <v>THE OLD SPAGHETTI HOUSE</v>
      </c>
      <c r="K68" s="441"/>
      <c r="L68" s="441"/>
      <c r="M68" s="441"/>
      <c r="N68" s="441"/>
      <c r="O68" s="441"/>
      <c r="P68" s="442"/>
    </row>
    <row r="69" spans="2:17" x14ac:dyDescent="0.2">
      <c r="B69" s="443" t="str">
        <f>'[2]11-25 payroll'!D2</f>
        <v>VALERO</v>
      </c>
      <c r="C69" s="444"/>
      <c r="D69" s="444"/>
      <c r="E69" s="444"/>
      <c r="F69" s="444"/>
      <c r="G69" s="444"/>
      <c r="H69" s="445"/>
      <c r="I69" s="178"/>
      <c r="J69" s="443" t="str">
        <f>'[2]11-25 payroll'!D2</f>
        <v>VALERO</v>
      </c>
      <c r="K69" s="444"/>
      <c r="L69" s="444"/>
      <c r="M69" s="444"/>
      <c r="N69" s="444"/>
      <c r="O69" s="444"/>
      <c r="P69" s="445"/>
      <c r="Q69" s="179"/>
    </row>
    <row r="70" spans="2:17" x14ac:dyDescent="0.2">
      <c r="B70" s="183"/>
      <c r="C70" s="184"/>
      <c r="D70" s="184"/>
      <c r="E70" s="184"/>
      <c r="F70" s="54"/>
      <c r="G70" s="54"/>
      <c r="H70" s="185"/>
      <c r="I70" s="186"/>
      <c r="J70" s="183"/>
      <c r="K70" s="184"/>
      <c r="L70" s="184"/>
      <c r="M70" s="184"/>
      <c r="N70" s="8"/>
      <c r="O70" s="8"/>
      <c r="P70" s="185"/>
      <c r="Q70" s="187"/>
    </row>
    <row r="71" spans="2:17" x14ac:dyDescent="0.2">
      <c r="B71" s="446" t="s">
        <v>25</v>
      </c>
      <c r="C71" s="447"/>
      <c r="D71" s="447"/>
      <c r="E71" s="447"/>
      <c r="F71" s="447"/>
      <c r="G71" s="447"/>
      <c r="H71" s="448"/>
      <c r="I71" s="178"/>
      <c r="J71" s="446" t="s">
        <v>25</v>
      </c>
      <c r="K71" s="447"/>
      <c r="L71" s="447"/>
      <c r="M71" s="447"/>
      <c r="N71" s="447"/>
      <c r="O71" s="447"/>
      <c r="P71" s="448"/>
      <c r="Q71" s="174"/>
    </row>
    <row r="72" spans="2:17" x14ac:dyDescent="0.2">
      <c r="B72" s="183"/>
      <c r="C72" s="184"/>
      <c r="D72" s="184"/>
      <c r="E72" s="184"/>
      <c r="F72" s="54"/>
      <c r="G72" s="54"/>
      <c r="H72" s="185"/>
      <c r="I72" s="186"/>
      <c r="J72" s="183"/>
      <c r="K72" s="184"/>
      <c r="L72" s="184"/>
      <c r="M72" s="184"/>
      <c r="N72" s="8"/>
      <c r="O72" s="8"/>
      <c r="P72" s="185"/>
      <c r="Q72" s="187"/>
    </row>
    <row r="73" spans="2:17" x14ac:dyDescent="0.2">
      <c r="B73" s="192" t="s">
        <v>26</v>
      </c>
      <c r="C73" s="193" t="s">
        <v>27</v>
      </c>
      <c r="D73" s="436" t="str">
        <f>'[2]11-25 payroll'!B11</f>
        <v>Briones, Christain Joy</v>
      </c>
      <c r="E73" s="437"/>
      <c r="F73" s="437"/>
      <c r="G73" s="55"/>
      <c r="H73" s="194"/>
      <c r="I73" s="195"/>
      <c r="J73" s="192" t="s">
        <v>26</v>
      </c>
      <c r="K73" s="193" t="s">
        <v>27</v>
      </c>
      <c r="L73" s="436" t="str">
        <f>'[2]11-25 payroll'!B12</f>
        <v>Cahilig,Benzen</v>
      </c>
      <c r="M73" s="437"/>
      <c r="N73" s="437"/>
      <c r="O73" s="9"/>
      <c r="P73" s="194"/>
    </row>
    <row r="74" spans="2:17" x14ac:dyDescent="0.2">
      <c r="B74" s="192" t="s">
        <v>28</v>
      </c>
      <c r="C74" s="193" t="s">
        <v>27</v>
      </c>
      <c r="D74" s="438">
        <v>527</v>
      </c>
      <c r="E74" s="438"/>
      <c r="F74" s="438"/>
      <c r="G74" s="55"/>
      <c r="H74" s="356"/>
      <c r="I74" s="195"/>
      <c r="J74" s="192" t="s">
        <v>28</v>
      </c>
      <c r="K74" s="193" t="s">
        <v>27</v>
      </c>
      <c r="L74" s="438">
        <v>527</v>
      </c>
      <c r="M74" s="438"/>
      <c r="N74" s="438"/>
      <c r="O74" s="9"/>
      <c r="P74" s="356"/>
    </row>
    <row r="75" spans="2:17" x14ac:dyDescent="0.2">
      <c r="B75" s="192" t="s">
        <v>29</v>
      </c>
      <c r="C75" s="193" t="s">
        <v>27</v>
      </c>
      <c r="D75" s="439" t="str">
        <f>'26-10 payroll'!D3</f>
        <v>September 28-Oct 03, 2020</v>
      </c>
      <c r="E75" s="439"/>
      <c r="F75" s="439"/>
      <c r="G75" s="55"/>
      <c r="H75" s="194"/>
      <c r="I75" s="195"/>
      <c r="J75" s="192" t="s">
        <v>29</v>
      </c>
      <c r="K75" s="193" t="s">
        <v>27</v>
      </c>
      <c r="L75" s="439" t="str">
        <f>'26-10 payroll'!D3</f>
        <v>September 28-Oct 03, 2020</v>
      </c>
      <c r="M75" s="439"/>
      <c r="N75" s="439"/>
      <c r="O75" s="9"/>
      <c r="P75" s="194"/>
      <c r="Q75" s="187"/>
    </row>
    <row r="76" spans="2:17" x14ac:dyDescent="0.2">
      <c r="B76" s="197" t="s">
        <v>16</v>
      </c>
      <c r="C76" s="198"/>
      <c r="D76" s="199"/>
      <c r="E76" s="200"/>
      <c r="F76" s="201"/>
      <c r="G76" s="55"/>
      <c r="H76" s="56">
        <f>E77*D74</f>
        <v>0</v>
      </c>
      <c r="I76" s="195"/>
      <c r="J76" s="197" t="s">
        <v>16</v>
      </c>
      <c r="K76" s="198"/>
      <c r="L76" s="199"/>
      <c r="M76" s="200"/>
      <c r="N76" s="9"/>
      <c r="O76" s="9"/>
      <c r="P76" s="10">
        <f>L74*M77</f>
        <v>1581</v>
      </c>
      <c r="Q76" s="174"/>
    </row>
    <row r="77" spans="2:17" x14ac:dyDescent="0.2">
      <c r="B77" s="192"/>
      <c r="C77" s="198"/>
      <c r="D77" s="200" t="s">
        <v>31</v>
      </c>
      <c r="E77" s="202">
        <f>'26-10 payroll'!F11</f>
        <v>0</v>
      </c>
      <c r="F77" s="57" t="s">
        <v>90</v>
      </c>
      <c r="G77" s="55"/>
      <c r="H77" s="58"/>
      <c r="I77" s="195"/>
      <c r="J77" s="192"/>
      <c r="K77" s="198"/>
      <c r="L77" s="200" t="s">
        <v>31</v>
      </c>
      <c r="M77" s="203">
        <f>'26-10 payroll'!F12</f>
        <v>3</v>
      </c>
      <c r="N77" s="50" t="s">
        <v>90</v>
      </c>
      <c r="O77" s="9"/>
      <c r="P77" s="10"/>
      <c r="Q77" s="174"/>
    </row>
    <row r="78" spans="2:17" x14ac:dyDescent="0.2">
      <c r="B78" s="183"/>
      <c r="C78" s="184"/>
      <c r="D78" s="184"/>
      <c r="E78" s="184"/>
      <c r="F78" s="54"/>
      <c r="G78" s="54"/>
      <c r="H78" s="185"/>
      <c r="I78" s="186"/>
      <c r="J78" s="183"/>
      <c r="K78" s="184"/>
      <c r="L78" s="184"/>
      <c r="M78" s="184"/>
      <c r="N78" s="8"/>
      <c r="O78" s="8"/>
      <c r="P78" s="185"/>
      <c r="Q78" s="187"/>
    </row>
    <row r="79" spans="2:17" x14ac:dyDescent="0.2">
      <c r="B79" s="192" t="s">
        <v>32</v>
      </c>
      <c r="C79" s="193"/>
      <c r="D79" s="204" t="s">
        <v>301</v>
      </c>
      <c r="E79" s="205"/>
      <c r="F79" s="55">
        <f>'26-10 payroll'!W11</f>
        <v>0</v>
      </c>
      <c r="G79" s="55"/>
      <c r="H79" s="58"/>
      <c r="I79" s="195"/>
      <c r="J79" s="192" t="s">
        <v>32</v>
      </c>
      <c r="K79" s="193"/>
      <c r="L79" s="204" t="s">
        <v>33</v>
      </c>
      <c r="M79" s="205"/>
      <c r="N79" s="9">
        <f>'26-10 payroll'!P12</f>
        <v>0</v>
      </c>
      <c r="O79" s="9"/>
      <c r="P79" s="10"/>
    </row>
    <row r="80" spans="2:17" x14ac:dyDescent="0.2">
      <c r="B80" s="192"/>
      <c r="C80" s="193"/>
      <c r="D80" s="204" t="s">
        <v>95</v>
      </c>
      <c r="E80" s="205"/>
      <c r="F80" s="55">
        <f>'26-10 payroll'!H11</f>
        <v>0</v>
      </c>
      <c r="G80" s="55"/>
      <c r="H80" s="58"/>
      <c r="I80" s="195"/>
      <c r="J80" s="192"/>
      <c r="K80" s="193"/>
      <c r="L80" s="204" t="s">
        <v>95</v>
      </c>
      <c r="M80" s="205"/>
      <c r="N80" s="9">
        <f>'26-10 payroll'!H12</f>
        <v>30</v>
      </c>
      <c r="O80" s="9"/>
      <c r="P80" s="10"/>
    </row>
    <row r="81" spans="1:22" x14ac:dyDescent="0.2">
      <c r="B81" s="192"/>
      <c r="C81" s="193"/>
      <c r="D81" s="204" t="s">
        <v>34</v>
      </c>
      <c r="E81" s="205"/>
      <c r="F81" s="55">
        <f>'26-10 payroll'!R11</f>
        <v>0</v>
      </c>
      <c r="G81" s="55"/>
      <c r="H81" s="58"/>
      <c r="I81" s="195"/>
      <c r="J81" s="192"/>
      <c r="K81" s="193"/>
      <c r="L81" s="204" t="s">
        <v>34</v>
      </c>
      <c r="M81" s="205"/>
      <c r="N81" s="9">
        <f>'26-10 payroll'!R12</f>
        <v>0</v>
      </c>
      <c r="O81" s="9"/>
      <c r="P81" s="10"/>
    </row>
    <row r="82" spans="1:22" x14ac:dyDescent="0.2">
      <c r="B82" s="192"/>
      <c r="C82" s="193"/>
      <c r="D82" s="204" t="s">
        <v>293</v>
      </c>
      <c r="E82" s="205"/>
      <c r="F82" s="55">
        <v>0</v>
      </c>
      <c r="G82" s="55"/>
      <c r="H82" s="58"/>
      <c r="I82" s="195"/>
      <c r="J82" s="192"/>
      <c r="K82" s="193"/>
      <c r="L82" s="204" t="s">
        <v>293</v>
      </c>
      <c r="M82" s="205"/>
      <c r="N82" s="9">
        <v>0</v>
      </c>
      <c r="O82" s="9"/>
      <c r="P82" s="10"/>
    </row>
    <row r="83" spans="1:22" x14ac:dyDescent="0.2">
      <c r="B83" s="192"/>
      <c r="C83" s="193"/>
      <c r="D83" s="204" t="s">
        <v>99</v>
      </c>
      <c r="E83" s="205"/>
      <c r="F83" s="59">
        <f>'26-10 payroll'!V11</f>
        <v>0</v>
      </c>
      <c r="G83" s="55"/>
      <c r="H83" s="56">
        <f>SUM(F79:F83)</f>
        <v>0</v>
      </c>
      <c r="I83" s="195"/>
      <c r="J83" s="192"/>
      <c r="K83" s="193"/>
      <c r="L83" s="204" t="s">
        <v>99</v>
      </c>
      <c r="M83" s="205"/>
      <c r="N83" s="11">
        <f>'26-10 payroll'!V12</f>
        <v>0</v>
      </c>
      <c r="O83" s="9"/>
      <c r="P83" s="56">
        <f>SUM(N79:N83)</f>
        <v>30</v>
      </c>
      <c r="Q83" s="187"/>
    </row>
    <row r="84" spans="1:22" x14ac:dyDescent="0.2">
      <c r="B84" s="192" t="s">
        <v>36</v>
      </c>
      <c r="C84" s="198"/>
      <c r="D84" s="198"/>
      <c r="E84" s="198"/>
      <c r="F84" s="55">
        <v>0</v>
      </c>
      <c r="G84" s="55"/>
      <c r="H84" s="58"/>
      <c r="I84" s="195"/>
      <c r="J84" s="192" t="s">
        <v>36</v>
      </c>
      <c r="K84" s="198"/>
      <c r="L84" s="198"/>
      <c r="M84" s="198"/>
      <c r="N84" s="9"/>
      <c r="O84" s="9"/>
      <c r="P84" s="10"/>
      <c r="Q84" s="174"/>
    </row>
    <row r="85" spans="1:22" x14ac:dyDescent="0.2">
      <c r="B85" s="192"/>
      <c r="C85" s="198"/>
      <c r="D85" s="206" t="s">
        <v>4</v>
      </c>
      <c r="E85" s="205"/>
      <c r="F85" s="55">
        <f>'26-10 payroll'!J26</f>
        <v>0</v>
      </c>
      <c r="G85" s="55"/>
      <c r="H85" s="207"/>
      <c r="I85" s="195"/>
      <c r="J85" s="192"/>
      <c r="K85" s="198"/>
      <c r="L85" s="206" t="s">
        <v>4</v>
      </c>
      <c r="M85" s="205"/>
      <c r="N85" s="9">
        <f>'26-10 payroll'!J27</f>
        <v>0</v>
      </c>
      <c r="O85" s="9"/>
      <c r="P85" s="207"/>
      <c r="Q85" s="174"/>
    </row>
    <row r="86" spans="1:22" x14ac:dyDescent="0.2">
      <c r="B86" s="192"/>
      <c r="C86" s="198"/>
      <c r="D86" s="206" t="s">
        <v>96</v>
      </c>
      <c r="E86" s="205"/>
      <c r="F86" s="55">
        <f>'26-10 payroll'!K26</f>
        <v>0</v>
      </c>
      <c r="G86" s="55"/>
      <c r="H86" s="207"/>
      <c r="I86" s="195"/>
      <c r="J86" s="192"/>
      <c r="K86" s="198"/>
      <c r="L86" s="206" t="s">
        <v>96</v>
      </c>
      <c r="M86" s="205"/>
      <c r="N86" s="9">
        <f>'26-10 payroll'!K27</f>
        <v>0</v>
      </c>
      <c r="O86" s="9"/>
      <c r="P86" s="207"/>
      <c r="Q86" s="174"/>
    </row>
    <row r="87" spans="1:22" x14ac:dyDescent="0.2">
      <c r="B87" s="192"/>
      <c r="C87" s="198"/>
      <c r="D87" s="206" t="s">
        <v>37</v>
      </c>
      <c r="E87" s="205"/>
      <c r="F87" s="55">
        <v>0</v>
      </c>
      <c r="G87" s="55"/>
      <c r="H87" s="207"/>
      <c r="I87" s="195"/>
      <c r="J87" s="192"/>
      <c r="K87" s="198"/>
      <c r="L87" s="206" t="s">
        <v>37</v>
      </c>
      <c r="M87" s="205"/>
      <c r="N87" s="9">
        <f>'26-10 payroll'!L27</f>
        <v>0</v>
      </c>
      <c r="O87" s="9"/>
      <c r="P87" s="207"/>
    </row>
    <row r="88" spans="1:22" x14ac:dyDescent="0.2">
      <c r="B88" s="192"/>
      <c r="C88" s="198"/>
      <c r="D88" s="206" t="s">
        <v>297</v>
      </c>
      <c r="E88" s="205"/>
      <c r="F88" s="55">
        <f>'26-10 payroll'!H60</f>
        <v>0</v>
      </c>
      <c r="G88" s="55"/>
      <c r="H88" s="207"/>
      <c r="I88" s="195"/>
      <c r="J88" s="192"/>
      <c r="K88" s="198"/>
      <c r="L88" s="206" t="s">
        <v>297</v>
      </c>
      <c r="M88" s="205"/>
      <c r="N88" s="358">
        <f>'26-10 payroll'!H61</f>
        <v>0</v>
      </c>
      <c r="O88" s="9"/>
      <c r="P88" s="207"/>
    </row>
    <row r="89" spans="1:22" x14ac:dyDescent="0.2">
      <c r="B89" s="192"/>
      <c r="C89" s="198"/>
      <c r="D89" s="206" t="s">
        <v>303</v>
      </c>
      <c r="E89" s="205"/>
      <c r="F89" s="55">
        <f>'26-10 payroll'!G60</f>
        <v>0</v>
      </c>
      <c r="G89" s="55"/>
      <c r="H89" s="207"/>
      <c r="I89" s="195"/>
      <c r="J89" s="192"/>
      <c r="K89" s="198"/>
      <c r="L89" s="206" t="s">
        <v>303</v>
      </c>
      <c r="M89" s="205"/>
      <c r="N89" s="9">
        <f>'26-10 payroll'!G61</f>
        <v>0</v>
      </c>
      <c r="O89" s="9"/>
      <c r="P89" s="207"/>
    </row>
    <row r="90" spans="1:22" x14ac:dyDescent="0.2">
      <c r="B90" s="192"/>
      <c r="C90" s="198"/>
      <c r="D90" s="198" t="s">
        <v>43</v>
      </c>
      <c r="E90" s="205"/>
      <c r="F90" s="55">
        <f>'26-10 payroll'!D60</f>
        <v>0</v>
      </c>
      <c r="G90" s="55"/>
      <c r="H90" s="207"/>
      <c r="I90" s="195"/>
      <c r="J90" s="192"/>
      <c r="K90" s="198"/>
      <c r="L90" s="198" t="s">
        <v>43</v>
      </c>
      <c r="M90" s="205"/>
      <c r="N90" s="9">
        <f>'26-10 payroll'!D61</f>
        <v>0</v>
      </c>
      <c r="O90" s="9"/>
      <c r="P90" s="207"/>
    </row>
    <row r="91" spans="1:22" x14ac:dyDescent="0.2">
      <c r="B91" s="192"/>
      <c r="C91" s="198"/>
      <c r="D91" s="206" t="s">
        <v>39</v>
      </c>
      <c r="E91" s="205"/>
      <c r="F91" s="55">
        <f>'26-10 payroll'!H26</f>
        <v>0</v>
      </c>
      <c r="G91" s="55"/>
      <c r="H91" s="209"/>
      <c r="I91" s="195"/>
      <c r="J91" s="192"/>
      <c r="K91" s="198"/>
      <c r="L91" s="206" t="s">
        <v>39</v>
      </c>
      <c r="M91" s="205"/>
      <c r="N91" s="9">
        <f>'26-10 payroll'!H27</f>
        <v>0</v>
      </c>
      <c r="O91" s="9"/>
      <c r="P91" s="209"/>
      <c r="Q91" s="187"/>
    </row>
    <row r="92" spans="1:22" x14ac:dyDescent="0.2">
      <c r="B92" s="192"/>
      <c r="C92" s="198"/>
      <c r="D92" s="206" t="s">
        <v>97</v>
      </c>
      <c r="E92" s="205"/>
      <c r="F92" s="55">
        <f>'26-10 payroll'!N26</f>
        <v>0</v>
      </c>
      <c r="G92" s="55"/>
      <c r="H92" s="209"/>
      <c r="I92" s="195"/>
      <c r="J92" s="192"/>
      <c r="K92" s="198"/>
      <c r="L92" s="206" t="s">
        <v>97</v>
      </c>
      <c r="M92" s="205"/>
      <c r="N92" s="9">
        <f>'26-10 payroll'!N27</f>
        <v>0</v>
      </c>
      <c r="O92" s="9"/>
      <c r="P92" s="209"/>
      <c r="Q92" s="187"/>
    </row>
    <row r="93" spans="1:22" x14ac:dyDescent="0.2">
      <c r="B93" s="192"/>
      <c r="C93" s="198"/>
      <c r="D93" s="198" t="s">
        <v>6</v>
      </c>
      <c r="E93" s="205"/>
      <c r="F93" s="55">
        <f>'26-10 payroll'!M26</f>
        <v>0</v>
      </c>
      <c r="G93" s="55"/>
      <c r="H93" s="211">
        <f>-SUM(F85:F93)</f>
        <v>0</v>
      </c>
      <c r="I93" s="195"/>
      <c r="J93" s="192"/>
      <c r="K93" s="198"/>
      <c r="L93" s="198" t="s">
        <v>6</v>
      </c>
      <c r="M93" s="205"/>
      <c r="N93" s="9">
        <f>'26-10 payroll'!M27</f>
        <v>0</v>
      </c>
      <c r="O93" s="9"/>
      <c r="P93" s="211">
        <f>-SUM(N85:N93)</f>
        <v>0</v>
      </c>
      <c r="Q93" s="187"/>
    </row>
    <row r="94" spans="1:22" ht="13.5" thickBot="1" x14ac:dyDescent="0.25">
      <c r="A94" s="174"/>
      <c r="B94" s="197" t="s">
        <v>40</v>
      </c>
      <c r="C94" s="212"/>
      <c r="D94" s="212"/>
      <c r="E94" s="212"/>
      <c r="F94" s="60"/>
      <c r="G94" s="60"/>
      <c r="H94" s="213">
        <f>SUM(H76:H93)</f>
        <v>0</v>
      </c>
      <c r="I94" s="214"/>
      <c r="J94" s="197" t="s">
        <v>40</v>
      </c>
      <c r="K94" s="212"/>
      <c r="L94" s="212"/>
      <c r="M94" s="212"/>
      <c r="N94" s="12"/>
      <c r="O94" s="12"/>
      <c r="P94" s="213">
        <f>SUM(P76:P93)</f>
        <v>1611</v>
      </c>
      <c r="Q94" s="174"/>
      <c r="T94" s="216">
        <f>+H94-'[2]11-25 payroll'!S39</f>
        <v>-4509.8982442708329</v>
      </c>
      <c r="V94" s="237">
        <f>+P94-'[2]11-25 payroll'!S40</f>
        <v>-3215.2099999999991</v>
      </c>
    </row>
    <row r="95" spans="1:22" ht="13.5" thickTop="1" x14ac:dyDescent="0.2">
      <c r="B95" s="192" t="s">
        <v>41</v>
      </c>
      <c r="C95" s="198"/>
      <c r="D95" s="198"/>
      <c r="E95" s="198"/>
      <c r="F95" s="55"/>
      <c r="G95" s="55"/>
      <c r="H95" s="194"/>
      <c r="I95" s="195"/>
      <c r="J95" s="192" t="s">
        <v>41</v>
      </c>
      <c r="K95" s="198"/>
      <c r="L95" s="198"/>
      <c r="M95" s="198"/>
      <c r="N95" s="9"/>
      <c r="O95" s="9"/>
      <c r="P95" s="194"/>
      <c r="Q95" s="187"/>
    </row>
    <row r="96" spans="1:22" x14ac:dyDescent="0.2">
      <c r="B96" s="192"/>
      <c r="C96" s="198"/>
      <c r="D96" s="198"/>
      <c r="E96" s="198"/>
      <c r="F96" s="55"/>
      <c r="G96" s="55"/>
      <c r="H96" s="194"/>
      <c r="I96" s="195"/>
      <c r="J96" s="192"/>
      <c r="K96" s="198"/>
      <c r="L96" s="198"/>
      <c r="M96" s="198"/>
      <c r="N96" s="9"/>
      <c r="O96" s="9"/>
      <c r="P96" s="194"/>
      <c r="Q96" s="174"/>
    </row>
    <row r="97" spans="2:17" x14ac:dyDescent="0.2">
      <c r="B97" s="192" t="s">
        <v>42</v>
      </c>
      <c r="C97" s="198"/>
      <c r="D97" s="198"/>
      <c r="E97" s="198"/>
      <c r="F97" s="61"/>
      <c r="G97" s="61"/>
      <c r="H97" s="194"/>
      <c r="I97" s="219"/>
      <c r="J97" s="192" t="s">
        <v>42</v>
      </c>
      <c r="K97" s="198"/>
      <c r="L97" s="198"/>
      <c r="M97" s="198"/>
      <c r="N97" s="13"/>
      <c r="O97" s="13"/>
      <c r="P97" s="194"/>
      <c r="Q97" s="174"/>
    </row>
    <row r="98" spans="2:17" ht="13.5" thickBot="1" x14ac:dyDescent="0.25">
      <c r="B98" s="229"/>
      <c r="C98" s="230"/>
      <c r="D98" s="230"/>
      <c r="E98" s="230"/>
      <c r="F98" s="62"/>
      <c r="G98" s="62"/>
      <c r="H98" s="231"/>
      <c r="I98" s="223"/>
      <c r="J98" s="224"/>
      <c r="K98" s="225"/>
      <c r="L98" s="225"/>
      <c r="M98" s="225"/>
      <c r="N98" s="14"/>
      <c r="O98" s="14"/>
      <c r="P98" s="226"/>
    </row>
    <row r="99" spans="2:17" x14ac:dyDescent="0.2">
      <c r="J99" s="170"/>
      <c r="K99" s="228"/>
      <c r="L99" s="228"/>
      <c r="M99" s="228"/>
      <c r="N99" s="7"/>
      <c r="O99" s="7"/>
      <c r="P99" s="228"/>
    </row>
    <row r="100" spans="2:17" ht="13.5" thickBot="1" x14ac:dyDescent="0.25">
      <c r="B100" s="171">
        <v>7</v>
      </c>
      <c r="C100" s="172"/>
      <c r="D100" s="172"/>
      <c r="E100" s="172"/>
      <c r="F100" s="172"/>
      <c r="G100" s="172"/>
      <c r="H100" s="172"/>
      <c r="J100" s="173">
        <v>8</v>
      </c>
    </row>
    <row r="101" spans="2:17" x14ac:dyDescent="0.2">
      <c r="B101" s="440" t="str">
        <f>'[2]11-25 payroll'!A1</f>
        <v>THE OLD SPAGHETTI HOUSE</v>
      </c>
      <c r="C101" s="441"/>
      <c r="D101" s="441"/>
      <c r="E101" s="441"/>
      <c r="F101" s="441"/>
      <c r="G101" s="441"/>
      <c r="H101" s="442"/>
      <c r="I101" s="178"/>
      <c r="J101" s="440" t="str">
        <f>'[2]11-25 payroll'!A1</f>
        <v>THE OLD SPAGHETTI HOUSE</v>
      </c>
      <c r="K101" s="441"/>
      <c r="L101" s="441"/>
      <c r="M101" s="441"/>
      <c r="N101" s="441"/>
      <c r="O101" s="441"/>
      <c r="P101" s="442"/>
    </row>
    <row r="102" spans="2:17" x14ac:dyDescent="0.2">
      <c r="B102" s="443" t="str">
        <f>'[2]11-25 payroll'!D2</f>
        <v>VALERO</v>
      </c>
      <c r="C102" s="444"/>
      <c r="D102" s="444"/>
      <c r="E102" s="444"/>
      <c r="F102" s="444"/>
      <c r="G102" s="444"/>
      <c r="H102" s="445"/>
      <c r="I102" s="178"/>
      <c r="J102" s="443" t="str">
        <f>'[2]11-25 payroll'!D2</f>
        <v>VALERO</v>
      </c>
      <c r="K102" s="444"/>
      <c r="L102" s="444"/>
      <c r="M102" s="444"/>
      <c r="N102" s="444"/>
      <c r="O102" s="444"/>
      <c r="P102" s="445"/>
      <c r="Q102" s="179"/>
    </row>
    <row r="103" spans="2:17" x14ac:dyDescent="0.2">
      <c r="B103" s="183"/>
      <c r="C103" s="184"/>
      <c r="D103" s="184"/>
      <c r="E103" s="184"/>
      <c r="F103" s="54"/>
      <c r="G103" s="54"/>
      <c r="H103" s="185"/>
      <c r="I103" s="186"/>
      <c r="J103" s="183"/>
      <c r="K103" s="184"/>
      <c r="L103" s="184"/>
      <c r="M103" s="184"/>
      <c r="N103" s="8"/>
      <c r="O103" s="8"/>
      <c r="P103" s="185"/>
      <c r="Q103" s="187"/>
    </row>
    <row r="104" spans="2:17" x14ac:dyDescent="0.2">
      <c r="B104" s="446" t="s">
        <v>25</v>
      </c>
      <c r="C104" s="447"/>
      <c r="D104" s="447"/>
      <c r="E104" s="447"/>
      <c r="F104" s="447"/>
      <c r="G104" s="447"/>
      <c r="H104" s="448"/>
      <c r="I104" s="178"/>
      <c r="J104" s="446" t="s">
        <v>25</v>
      </c>
      <c r="K104" s="447"/>
      <c r="L104" s="447"/>
      <c r="M104" s="447"/>
      <c r="N104" s="447"/>
      <c r="O104" s="447"/>
      <c r="P104" s="448"/>
      <c r="Q104" s="174"/>
    </row>
    <row r="105" spans="2:17" x14ac:dyDescent="0.2">
      <c r="B105" s="183"/>
      <c r="C105" s="184"/>
      <c r="D105" s="184"/>
      <c r="E105" s="184"/>
      <c r="F105" s="54"/>
      <c r="G105" s="54"/>
      <c r="H105" s="185"/>
      <c r="I105" s="186"/>
      <c r="J105" s="183"/>
      <c r="K105" s="184"/>
      <c r="L105" s="184"/>
      <c r="M105" s="184"/>
      <c r="N105" s="8"/>
      <c r="O105" s="8"/>
      <c r="P105" s="185"/>
      <c r="Q105" s="187"/>
    </row>
    <row r="106" spans="2:17" x14ac:dyDescent="0.2">
      <c r="B106" s="192" t="s">
        <v>26</v>
      </c>
      <c r="C106" s="193" t="s">
        <v>27</v>
      </c>
      <c r="D106" s="436" t="str">
        <f>'[2]11-25 payroll'!B13</f>
        <v>Pantoja,Nancy</v>
      </c>
      <c r="E106" s="437"/>
      <c r="F106" s="437"/>
      <c r="G106" s="55"/>
      <c r="H106" s="194"/>
      <c r="I106" s="195"/>
      <c r="J106" s="192" t="s">
        <v>26</v>
      </c>
      <c r="K106" s="193" t="s">
        <v>27</v>
      </c>
      <c r="L106" s="436" t="str">
        <f>'26-10 payroll'!B14</f>
        <v>Hayagan, Ruel</v>
      </c>
      <c r="M106" s="437"/>
      <c r="N106" s="437"/>
      <c r="O106" s="9"/>
      <c r="P106" s="194"/>
    </row>
    <row r="107" spans="2:17" x14ac:dyDescent="0.2">
      <c r="B107" s="192" t="s">
        <v>28</v>
      </c>
      <c r="C107" s="193" t="s">
        <v>27</v>
      </c>
      <c r="D107" s="438">
        <v>527</v>
      </c>
      <c r="E107" s="438"/>
      <c r="F107" s="438"/>
      <c r="G107" s="55"/>
      <c r="H107" s="356"/>
      <c r="I107" s="195"/>
      <c r="J107" s="192" t="s">
        <v>28</v>
      </c>
      <c r="K107" s="193" t="s">
        <v>27</v>
      </c>
      <c r="L107" s="438">
        <v>527</v>
      </c>
      <c r="M107" s="438"/>
      <c r="N107" s="438"/>
      <c r="O107" s="9"/>
      <c r="P107" s="356"/>
    </row>
    <row r="108" spans="2:17" x14ac:dyDescent="0.2">
      <c r="B108" s="192" t="s">
        <v>29</v>
      </c>
      <c r="C108" s="193" t="s">
        <v>27</v>
      </c>
      <c r="D108" s="439" t="str">
        <f>'26-10 payroll'!D3</f>
        <v>September 28-Oct 03, 2020</v>
      </c>
      <c r="E108" s="439"/>
      <c r="F108" s="439"/>
      <c r="G108" s="55"/>
      <c r="H108" s="194"/>
      <c r="I108" s="195"/>
      <c r="J108" s="192" t="s">
        <v>29</v>
      </c>
      <c r="K108" s="193" t="s">
        <v>27</v>
      </c>
      <c r="L108" s="439" t="str">
        <f>'26-10 payroll'!D3</f>
        <v>September 28-Oct 03, 2020</v>
      </c>
      <c r="M108" s="439"/>
      <c r="N108" s="439"/>
      <c r="O108" s="9"/>
      <c r="P108" s="194"/>
      <c r="Q108" s="187"/>
    </row>
    <row r="109" spans="2:17" x14ac:dyDescent="0.2">
      <c r="B109" s="197" t="s">
        <v>16</v>
      </c>
      <c r="C109" s="198"/>
      <c r="D109" s="199"/>
      <c r="E109" s="200"/>
      <c r="F109" s="201"/>
      <c r="G109" s="55"/>
      <c r="H109" s="56">
        <f>D107*E110</f>
        <v>0</v>
      </c>
      <c r="I109" s="195"/>
      <c r="J109" s="192" t="s">
        <v>30</v>
      </c>
      <c r="K109" s="198"/>
      <c r="L109" s="232"/>
      <c r="M109" s="200"/>
      <c r="N109" s="9"/>
      <c r="O109" s="9"/>
      <c r="P109" s="10">
        <f>'26-10 payroll'!G14</f>
        <v>3162</v>
      </c>
      <c r="Q109" s="174"/>
    </row>
    <row r="110" spans="2:17" x14ac:dyDescent="0.2">
      <c r="B110" s="192"/>
      <c r="C110" s="198"/>
      <c r="D110" s="200" t="s">
        <v>31</v>
      </c>
      <c r="E110" s="202">
        <f>'26-10 payroll'!F13</f>
        <v>0</v>
      </c>
      <c r="F110" s="57" t="s">
        <v>90</v>
      </c>
      <c r="G110" s="55"/>
      <c r="H110" s="58"/>
      <c r="I110" s="195"/>
      <c r="J110" s="192"/>
      <c r="K110" s="198"/>
      <c r="L110" s="200" t="s">
        <v>31</v>
      </c>
      <c r="M110" s="203">
        <f>'26-10 payroll'!F14</f>
        <v>6</v>
      </c>
      <c r="N110" s="50" t="s">
        <v>90</v>
      </c>
      <c r="O110" s="9"/>
      <c r="P110" s="10"/>
      <c r="Q110" s="174"/>
    </row>
    <row r="111" spans="2:17" x14ac:dyDescent="0.2">
      <c r="B111" s="183"/>
      <c r="C111" s="184"/>
      <c r="D111" s="184"/>
      <c r="E111" s="184"/>
      <c r="F111" s="54"/>
      <c r="G111" s="54"/>
      <c r="H111" s="185"/>
      <c r="I111" s="186"/>
      <c r="J111" s="183"/>
      <c r="K111" s="184"/>
      <c r="L111" s="184"/>
      <c r="M111" s="184"/>
      <c r="N111" s="8"/>
      <c r="O111" s="8"/>
      <c r="P111" s="185"/>
      <c r="Q111" s="187"/>
    </row>
    <row r="112" spans="2:17" x14ac:dyDescent="0.2">
      <c r="B112" s="192" t="s">
        <v>32</v>
      </c>
      <c r="C112" s="193"/>
      <c r="D112" s="204" t="s">
        <v>33</v>
      </c>
      <c r="E112" s="205"/>
      <c r="F112" s="55">
        <f>'26-10 payroll'!P13</f>
        <v>0</v>
      </c>
      <c r="G112" s="55"/>
      <c r="H112" s="58"/>
      <c r="I112" s="195"/>
      <c r="J112" s="192" t="s">
        <v>32</v>
      </c>
      <c r="K112" s="193"/>
      <c r="L112" s="204" t="s">
        <v>33</v>
      </c>
      <c r="M112" s="205"/>
      <c r="N112" s="9">
        <f>'[2]11-25 payroll'!P14</f>
        <v>0</v>
      </c>
      <c r="O112" s="9"/>
      <c r="P112" s="10"/>
    </row>
    <row r="113" spans="1:22" x14ac:dyDescent="0.2">
      <c r="B113" s="192"/>
      <c r="C113" s="193"/>
      <c r="D113" s="204" t="s">
        <v>95</v>
      </c>
      <c r="E113" s="205"/>
      <c r="F113" s="55">
        <f>'26-10 payroll'!H13</f>
        <v>0</v>
      </c>
      <c r="G113" s="55"/>
      <c r="H113" s="58"/>
      <c r="I113" s="195"/>
      <c r="J113" s="192"/>
      <c r="K113" s="193"/>
      <c r="L113" s="204" t="s">
        <v>95</v>
      </c>
      <c r="M113" s="205"/>
      <c r="N113" s="9">
        <f>'26-10 payroll'!H14</f>
        <v>60</v>
      </c>
      <c r="O113" s="9"/>
      <c r="P113" s="10"/>
    </row>
    <row r="114" spans="1:22" x14ac:dyDescent="0.2">
      <c r="B114" s="192"/>
      <c r="C114" s="193"/>
      <c r="D114" s="204" t="s">
        <v>34</v>
      </c>
      <c r="E114" s="205"/>
      <c r="F114" s="55">
        <f>'26-10 payroll'!R13</f>
        <v>0</v>
      </c>
      <c r="G114" s="55"/>
      <c r="H114" s="58"/>
      <c r="I114" s="195"/>
      <c r="J114" s="192"/>
      <c r="K114" s="193"/>
      <c r="L114" s="204" t="s">
        <v>34</v>
      </c>
      <c r="M114" s="205"/>
      <c r="N114" s="9">
        <f>'[2]11-25 payroll'!R14</f>
        <v>0</v>
      </c>
      <c r="O114" s="9"/>
      <c r="P114" s="10"/>
    </row>
    <row r="115" spans="1:22" x14ac:dyDescent="0.2">
      <c r="B115" s="192"/>
      <c r="C115" s="193"/>
      <c r="D115" s="204" t="s">
        <v>298</v>
      </c>
      <c r="E115" s="205"/>
      <c r="F115" s="55">
        <v>0</v>
      </c>
      <c r="G115" s="55"/>
      <c r="H115" s="58"/>
      <c r="I115" s="195"/>
      <c r="J115" s="192"/>
      <c r="K115" s="193"/>
      <c r="L115" s="204" t="s">
        <v>35</v>
      </c>
      <c r="M115" s="205"/>
      <c r="N115" s="9">
        <f>'[2]11-25 payroll'!T14</f>
        <v>0</v>
      </c>
      <c r="O115" s="9"/>
      <c r="P115" s="10"/>
    </row>
    <row r="116" spans="1:22" x14ac:dyDescent="0.2">
      <c r="B116" s="192"/>
      <c r="C116" s="193"/>
      <c r="D116" s="204" t="s">
        <v>99</v>
      </c>
      <c r="E116" s="205"/>
      <c r="F116" s="55">
        <f>'26-10 payroll'!V13</f>
        <v>0</v>
      </c>
      <c r="G116" s="55"/>
      <c r="H116" s="56">
        <f>SUM(F112:F116)</f>
        <v>0</v>
      </c>
      <c r="I116" s="195"/>
      <c r="J116" s="192"/>
      <c r="K116" s="193"/>
      <c r="L116" s="204" t="s">
        <v>99</v>
      </c>
      <c r="M116" s="205"/>
      <c r="N116" s="11">
        <f>'[2]11-25 payroll'!V14+'[2]11-25 payroll'!W14+'[2]11-25 payroll'!O42+'[2]11-25 payroll'!P42+'[2]11-25 payroll'!Q42</f>
        <v>0</v>
      </c>
      <c r="O116" s="9"/>
      <c r="P116" s="10">
        <f>SUM(N112:N116)</f>
        <v>60</v>
      </c>
      <c r="Q116" s="187"/>
    </row>
    <row r="117" spans="1:22" x14ac:dyDescent="0.2">
      <c r="B117" s="192" t="s">
        <v>36</v>
      </c>
      <c r="C117" s="198"/>
      <c r="D117" s="198"/>
      <c r="E117" s="198"/>
      <c r="F117" s="55"/>
      <c r="G117" s="55"/>
      <c r="H117" s="58"/>
      <c r="I117" s="195"/>
      <c r="J117" s="192" t="s">
        <v>36</v>
      </c>
      <c r="K117" s="198"/>
      <c r="L117" s="198"/>
      <c r="M117" s="198"/>
      <c r="N117" s="9"/>
      <c r="O117" s="9"/>
      <c r="P117" s="10"/>
      <c r="Q117" s="174"/>
    </row>
    <row r="118" spans="1:22" x14ac:dyDescent="0.2">
      <c r="B118" s="192"/>
      <c r="C118" s="198"/>
      <c r="D118" s="206" t="s">
        <v>4</v>
      </c>
      <c r="E118" s="205"/>
      <c r="F118" s="55">
        <f>'26-10 payroll'!J28</f>
        <v>0</v>
      </c>
      <c r="G118" s="55"/>
      <c r="H118" s="207"/>
      <c r="I118" s="195"/>
      <c r="J118" s="192"/>
      <c r="K118" s="198"/>
      <c r="L118" s="206" t="s">
        <v>4</v>
      </c>
      <c r="M118" s="205"/>
      <c r="N118" s="9">
        <f>'[2]11-25 payroll'!J29</f>
        <v>0</v>
      </c>
      <c r="O118" s="9"/>
      <c r="P118" s="207"/>
      <c r="Q118" s="174"/>
    </row>
    <row r="119" spans="1:22" x14ac:dyDescent="0.2">
      <c r="B119" s="192"/>
      <c r="C119" s="198"/>
      <c r="D119" s="206" t="s">
        <v>96</v>
      </c>
      <c r="E119" s="205"/>
      <c r="F119" s="55">
        <f>'26-10 payroll'!K28</f>
        <v>0</v>
      </c>
      <c r="G119" s="55"/>
      <c r="H119" s="207"/>
      <c r="I119" s="195"/>
      <c r="J119" s="192"/>
      <c r="K119" s="198"/>
      <c r="L119" s="206" t="s">
        <v>96</v>
      </c>
      <c r="M119" s="205"/>
      <c r="N119" s="9">
        <f>'[2]11-25 payroll'!K29</f>
        <v>0</v>
      </c>
      <c r="O119" s="9"/>
      <c r="P119" s="207"/>
      <c r="Q119" s="174"/>
    </row>
    <row r="120" spans="1:22" x14ac:dyDescent="0.2">
      <c r="B120" s="192"/>
      <c r="C120" s="198"/>
      <c r="D120" s="206" t="s">
        <v>37</v>
      </c>
      <c r="E120" s="205"/>
      <c r="F120" s="55">
        <f>'26-10 payroll'!L28</f>
        <v>0</v>
      </c>
      <c r="G120" s="55"/>
      <c r="H120" s="207"/>
      <c r="I120" s="195"/>
      <c r="J120" s="192"/>
      <c r="K120" s="198"/>
      <c r="L120" s="206" t="s">
        <v>37</v>
      </c>
      <c r="M120" s="205"/>
      <c r="N120" s="9">
        <f>'[2]11-25 payroll'!L29</f>
        <v>0</v>
      </c>
      <c r="O120" s="9"/>
      <c r="P120" s="207"/>
    </row>
    <row r="121" spans="1:22" x14ac:dyDescent="0.2">
      <c r="B121" s="192"/>
      <c r="C121" s="198"/>
      <c r="D121" s="206" t="s">
        <v>297</v>
      </c>
      <c r="E121" s="205"/>
      <c r="F121" s="55">
        <f>'26-10 payroll'!H62</f>
        <v>0</v>
      </c>
      <c r="G121" s="55"/>
      <c r="H121" s="207"/>
      <c r="I121" s="195"/>
      <c r="J121" s="192"/>
      <c r="K121" s="198"/>
      <c r="L121" s="206" t="s">
        <v>38</v>
      </c>
      <c r="M121" s="205"/>
      <c r="N121" s="208">
        <f>'[2]11-25 payroll'!O29</f>
        <v>0</v>
      </c>
      <c r="O121" s="9"/>
      <c r="P121" s="207"/>
    </row>
    <row r="122" spans="1:22" x14ac:dyDescent="0.2">
      <c r="B122" s="192"/>
      <c r="C122" s="198"/>
      <c r="D122" s="206" t="s">
        <v>303</v>
      </c>
      <c r="E122" s="205"/>
      <c r="F122" s="55">
        <f>'26-10 payroll'!G62</f>
        <v>0</v>
      </c>
      <c r="G122" s="55"/>
      <c r="H122" s="207"/>
      <c r="I122" s="195"/>
      <c r="J122" s="192"/>
      <c r="K122" s="198"/>
      <c r="L122" s="206" t="s">
        <v>98</v>
      </c>
      <c r="M122" s="205"/>
      <c r="N122" s="9">
        <f>+'[2]11-25 payroll'!F63+'[2]11-25 payroll'!G63+'[2]11-25 payroll'!H63+'[2]11-25 payroll'!I63</f>
        <v>0</v>
      </c>
      <c r="O122" s="9"/>
      <c r="P122" s="207"/>
    </row>
    <row r="123" spans="1:22" x14ac:dyDescent="0.2">
      <c r="B123" s="192"/>
      <c r="C123" s="198"/>
      <c r="D123" s="198" t="s">
        <v>43</v>
      </c>
      <c r="E123" s="205"/>
      <c r="F123" s="55">
        <f>'26-10 payroll'!D62</f>
        <v>0</v>
      </c>
      <c r="G123" s="55"/>
      <c r="H123" s="207"/>
      <c r="I123" s="195"/>
      <c r="J123" s="192"/>
      <c r="K123" s="198"/>
      <c r="L123" s="198" t="s">
        <v>43</v>
      </c>
      <c r="M123" s="205"/>
      <c r="N123" s="9">
        <f>'[2]11-25 payroll'!E63</f>
        <v>0</v>
      </c>
      <c r="O123" s="9"/>
      <c r="P123" s="207"/>
    </row>
    <row r="124" spans="1:22" x14ac:dyDescent="0.2">
      <c r="B124" s="192"/>
      <c r="C124" s="198"/>
      <c r="D124" s="206" t="s">
        <v>39</v>
      </c>
      <c r="E124" s="205"/>
      <c r="F124" s="55">
        <f>'26-10 payroll'!H28</f>
        <v>0</v>
      </c>
      <c r="G124" s="55"/>
      <c r="H124" s="209"/>
      <c r="I124" s="195"/>
      <c r="J124" s="192"/>
      <c r="K124" s="198"/>
      <c r="L124" s="206" t="s">
        <v>39</v>
      </c>
      <c r="M124" s="205"/>
      <c r="N124" s="9">
        <f>'[2]11-25 payroll'!F29+'[2]11-25 payroll'!H29</f>
        <v>0</v>
      </c>
      <c r="O124" s="9"/>
      <c r="P124" s="209"/>
      <c r="Q124" s="187"/>
    </row>
    <row r="125" spans="1:22" x14ac:dyDescent="0.2">
      <c r="B125" s="192"/>
      <c r="C125" s="198"/>
      <c r="D125" s="206" t="s">
        <v>97</v>
      </c>
      <c r="E125" s="205"/>
      <c r="F125" s="55">
        <f>'26-10 payroll'!N28</f>
        <v>0</v>
      </c>
      <c r="G125" s="55"/>
      <c r="H125" s="209"/>
      <c r="I125" s="195"/>
      <c r="J125" s="192"/>
      <c r="K125" s="198"/>
      <c r="L125" s="206" t="s">
        <v>97</v>
      </c>
      <c r="M125" s="205"/>
      <c r="N125" s="9">
        <f>'[2]11-25 payroll'!N29</f>
        <v>0</v>
      </c>
      <c r="O125" s="9"/>
      <c r="P125" s="209"/>
      <c r="Q125" s="187"/>
    </row>
    <row r="126" spans="1:22" x14ac:dyDescent="0.2">
      <c r="B126" s="192"/>
      <c r="C126" s="198"/>
      <c r="D126" s="198" t="s">
        <v>6</v>
      </c>
      <c r="E126" s="205"/>
      <c r="F126" s="55">
        <f>'26-10 payroll'!M28</f>
        <v>0</v>
      </c>
      <c r="G126" s="55"/>
      <c r="H126" s="211">
        <f>-SUM(F118:F126)</f>
        <v>0</v>
      </c>
      <c r="I126" s="195"/>
      <c r="J126" s="192"/>
      <c r="K126" s="198"/>
      <c r="L126" s="198" t="s">
        <v>6</v>
      </c>
      <c r="M126" s="205"/>
      <c r="N126" s="9">
        <f>'[2]11-25 payroll'!M29</f>
        <v>0</v>
      </c>
      <c r="O126" s="9"/>
      <c r="P126" s="211">
        <f>-SUM(N118:N126)</f>
        <v>0</v>
      </c>
      <c r="Q126" s="187"/>
    </row>
    <row r="127" spans="1:22" ht="13.5" thickBot="1" x14ac:dyDescent="0.25">
      <c r="A127" s="174"/>
      <c r="B127" s="197" t="s">
        <v>40</v>
      </c>
      <c r="C127" s="212"/>
      <c r="D127" s="212"/>
      <c r="E127" s="212"/>
      <c r="F127" s="60"/>
      <c r="G127" s="60"/>
      <c r="H127" s="213">
        <f>SUM(H109:H126)</f>
        <v>0</v>
      </c>
      <c r="I127" s="214"/>
      <c r="J127" s="197" t="s">
        <v>40</v>
      </c>
      <c r="K127" s="212"/>
      <c r="L127" s="212"/>
      <c r="M127" s="212"/>
      <c r="N127" s="12"/>
      <c r="O127" s="12"/>
      <c r="P127" s="213">
        <f>SUM(P109:P126)</f>
        <v>3222</v>
      </c>
      <c r="Q127" s="174"/>
      <c r="T127" s="216">
        <f>+H127-'[2]11-25 payroll'!S41</f>
        <v>-5072.4799999999996</v>
      </c>
      <c r="V127" s="237">
        <f>+P127-'[2]11-25 payroll'!S42</f>
        <v>3222</v>
      </c>
    </row>
    <row r="128" spans="1:22" ht="13.5" thickTop="1" x14ac:dyDescent="0.2">
      <c r="B128" s="192" t="s">
        <v>41</v>
      </c>
      <c r="C128" s="198"/>
      <c r="D128" s="198"/>
      <c r="E128" s="198"/>
      <c r="F128" s="55"/>
      <c r="G128" s="55"/>
      <c r="H128" s="194"/>
      <c r="I128" s="195"/>
      <c r="J128" s="192" t="s">
        <v>41</v>
      </c>
      <c r="K128" s="198"/>
      <c r="L128" s="198"/>
      <c r="M128" s="198"/>
      <c r="N128" s="9"/>
      <c r="O128" s="9"/>
      <c r="P128" s="194"/>
      <c r="Q128" s="187"/>
    </row>
    <row r="129" spans="2:17" x14ac:dyDescent="0.2">
      <c r="B129" s="192"/>
      <c r="C129" s="198"/>
      <c r="D129" s="198"/>
      <c r="E129" s="198"/>
      <c r="F129" s="55"/>
      <c r="G129" s="55"/>
      <c r="H129" s="194"/>
      <c r="I129" s="195"/>
      <c r="J129" s="192"/>
      <c r="K129" s="198"/>
      <c r="L129" s="198"/>
      <c r="M129" s="198"/>
      <c r="N129" s="9"/>
      <c r="O129" s="9"/>
      <c r="P129" s="194"/>
      <c r="Q129" s="174"/>
    </row>
    <row r="130" spans="2:17" x14ac:dyDescent="0.2">
      <c r="B130" s="192" t="s">
        <v>42</v>
      </c>
      <c r="C130" s="198"/>
      <c r="D130" s="198"/>
      <c r="E130" s="198"/>
      <c r="F130" s="61"/>
      <c r="G130" s="61"/>
      <c r="H130" s="194"/>
      <c r="I130" s="219"/>
      <c r="J130" s="192" t="s">
        <v>42</v>
      </c>
      <c r="K130" s="198"/>
      <c r="L130" s="198"/>
      <c r="M130" s="198"/>
      <c r="N130" s="13"/>
      <c r="O130" s="13"/>
      <c r="P130" s="194"/>
      <c r="Q130" s="174"/>
    </row>
    <row r="131" spans="2:17" ht="13.5" thickBot="1" x14ac:dyDescent="0.25">
      <c r="B131" s="229"/>
      <c r="C131" s="230"/>
      <c r="D131" s="230"/>
      <c r="E131" s="230"/>
      <c r="F131" s="62"/>
      <c r="G131" s="62"/>
      <c r="H131" s="231"/>
      <c r="I131" s="223"/>
      <c r="J131" s="224"/>
      <c r="K131" s="225"/>
      <c r="L131" s="225"/>
      <c r="M131" s="225"/>
      <c r="N131" s="14"/>
      <c r="O131" s="14"/>
      <c r="P131" s="226"/>
    </row>
    <row r="132" spans="2:17" x14ac:dyDescent="0.2">
      <c r="J132" s="170"/>
      <c r="K132" s="228"/>
      <c r="L132" s="228"/>
      <c r="M132" s="228"/>
      <c r="N132" s="7"/>
      <c r="O132" s="7"/>
      <c r="P132" s="228"/>
    </row>
    <row r="133" spans="2:17" ht="13.5" thickBot="1" x14ac:dyDescent="0.25">
      <c r="B133" s="171">
        <v>9</v>
      </c>
      <c r="C133" s="172"/>
      <c r="D133" s="172"/>
      <c r="E133" s="172"/>
      <c r="F133" s="172"/>
      <c r="G133" s="172"/>
      <c r="H133" s="172"/>
      <c r="J133" s="173">
        <v>10</v>
      </c>
    </row>
    <row r="134" spans="2:17" x14ac:dyDescent="0.2">
      <c r="B134" s="440" t="s">
        <v>296</v>
      </c>
      <c r="C134" s="441"/>
      <c r="D134" s="441"/>
      <c r="E134" s="441"/>
      <c r="F134" s="441"/>
      <c r="G134" s="441"/>
      <c r="H134" s="442"/>
      <c r="I134" s="178"/>
      <c r="J134" s="440" t="s">
        <v>296</v>
      </c>
      <c r="K134" s="441"/>
      <c r="L134" s="441"/>
      <c r="M134" s="441"/>
      <c r="N134" s="441"/>
      <c r="O134" s="441"/>
      <c r="P134" s="442"/>
    </row>
    <row r="135" spans="2:17" x14ac:dyDescent="0.2">
      <c r="B135" s="443" t="str">
        <f>'[2]11-25 payroll'!D2</f>
        <v>VALERO</v>
      </c>
      <c r="C135" s="444"/>
      <c r="D135" s="444"/>
      <c r="E135" s="444"/>
      <c r="F135" s="444"/>
      <c r="G135" s="444"/>
      <c r="H135" s="445"/>
      <c r="I135" s="178"/>
      <c r="J135" s="443" t="str">
        <f>'[2]11-25 payroll'!D2</f>
        <v>VALERO</v>
      </c>
      <c r="K135" s="444"/>
      <c r="L135" s="444"/>
      <c r="M135" s="444"/>
      <c r="N135" s="444"/>
      <c r="O135" s="444"/>
      <c r="P135" s="445"/>
      <c r="Q135" s="179"/>
    </row>
    <row r="136" spans="2:17" x14ac:dyDescent="0.2">
      <c r="B136" s="183"/>
      <c r="C136" s="184"/>
      <c r="D136" s="184"/>
      <c r="E136" s="184"/>
      <c r="F136" s="54"/>
      <c r="G136" s="54"/>
      <c r="H136" s="185"/>
      <c r="I136" s="186"/>
      <c r="J136" s="183"/>
      <c r="K136" s="184"/>
      <c r="L136" s="184"/>
      <c r="M136" s="184"/>
      <c r="N136" s="8"/>
      <c r="O136" s="8"/>
      <c r="P136" s="185"/>
      <c r="Q136" s="187"/>
    </row>
    <row r="137" spans="2:17" x14ac:dyDescent="0.2">
      <c r="B137" s="446" t="s">
        <v>25</v>
      </c>
      <c r="C137" s="447"/>
      <c r="D137" s="447"/>
      <c r="E137" s="447"/>
      <c r="F137" s="447"/>
      <c r="G137" s="447"/>
      <c r="H137" s="448"/>
      <c r="I137" s="178"/>
      <c r="J137" s="446" t="s">
        <v>25</v>
      </c>
      <c r="K137" s="447"/>
      <c r="L137" s="447"/>
      <c r="M137" s="447"/>
      <c r="N137" s="447"/>
      <c r="O137" s="447"/>
      <c r="P137" s="448"/>
      <c r="Q137" s="174"/>
    </row>
    <row r="138" spans="2:17" x14ac:dyDescent="0.2">
      <c r="B138" s="183"/>
      <c r="C138" s="184"/>
      <c r="D138" s="184"/>
      <c r="E138" s="184"/>
      <c r="F138" s="54"/>
      <c r="G138" s="54"/>
      <c r="H138" s="185"/>
      <c r="I138" s="186"/>
      <c r="J138" s="183"/>
      <c r="K138" s="184"/>
      <c r="L138" s="184"/>
      <c r="M138" s="184"/>
      <c r="N138" s="8"/>
      <c r="O138" s="8"/>
      <c r="P138" s="185"/>
      <c r="Q138" s="187"/>
    </row>
    <row r="139" spans="2:17" x14ac:dyDescent="0.2">
      <c r="B139" s="192" t="s">
        <v>26</v>
      </c>
      <c r="C139" s="193" t="s">
        <v>27</v>
      </c>
      <c r="D139" s="436" t="s">
        <v>294</v>
      </c>
      <c r="E139" s="437"/>
      <c r="F139" s="437"/>
      <c r="G139" s="55"/>
      <c r="H139" s="194"/>
      <c r="I139" s="195"/>
      <c r="J139" s="192" t="s">
        <v>26</v>
      </c>
      <c r="K139" s="193" t="s">
        <v>27</v>
      </c>
      <c r="L139" s="437" t="s">
        <v>294</v>
      </c>
      <c r="M139" s="437"/>
      <c r="N139" s="437"/>
      <c r="O139" s="9"/>
      <c r="P139" s="194"/>
    </row>
    <row r="140" spans="2:17" x14ac:dyDescent="0.2">
      <c r="B140" s="192" t="s">
        <v>28</v>
      </c>
      <c r="C140" s="193" t="s">
        <v>27</v>
      </c>
      <c r="D140" s="438">
        <v>527</v>
      </c>
      <c r="E140" s="438"/>
      <c r="F140" s="438"/>
      <c r="G140" s="55"/>
      <c r="H140" s="356"/>
      <c r="I140" s="195"/>
      <c r="J140" s="192" t="s">
        <v>28</v>
      </c>
      <c r="K140" s="193" t="s">
        <v>27</v>
      </c>
      <c r="L140" s="438">
        <v>527</v>
      </c>
      <c r="M140" s="438"/>
      <c r="N140" s="438"/>
      <c r="O140" s="9"/>
      <c r="P140" s="356"/>
    </row>
    <row r="141" spans="2:17" x14ac:dyDescent="0.2">
      <c r="B141" s="192" t="s">
        <v>29</v>
      </c>
      <c r="C141" s="193" t="s">
        <v>27</v>
      </c>
      <c r="D141" s="439" t="s">
        <v>291</v>
      </c>
      <c r="E141" s="439"/>
      <c r="F141" s="439"/>
      <c r="G141" s="55"/>
      <c r="H141" s="194"/>
      <c r="I141" s="195"/>
      <c r="J141" s="192" t="s">
        <v>29</v>
      </c>
      <c r="K141" s="193" t="s">
        <v>27</v>
      </c>
      <c r="L141" s="439" t="s">
        <v>295</v>
      </c>
      <c r="M141" s="439"/>
      <c r="N141" s="439"/>
      <c r="O141" s="9"/>
      <c r="P141" s="194"/>
      <c r="Q141" s="187"/>
    </row>
    <row r="142" spans="2:17" x14ac:dyDescent="0.2">
      <c r="B142" s="197" t="s">
        <v>16</v>
      </c>
      <c r="C142" s="198"/>
      <c r="D142" s="199"/>
      <c r="E142" s="200"/>
      <c r="F142" s="201"/>
      <c r="G142" s="55"/>
      <c r="H142" s="56">
        <f>D140*E143</f>
        <v>6324</v>
      </c>
      <c r="I142" s="195"/>
      <c r="J142" s="197" t="s">
        <v>16</v>
      </c>
      <c r="K142" s="198"/>
      <c r="L142" s="199"/>
      <c r="M142" s="200"/>
      <c r="N142" s="9"/>
      <c r="O142" s="9"/>
      <c r="P142" s="10">
        <f>L140*M143</f>
        <v>5270</v>
      </c>
      <c r="Q142" s="174"/>
    </row>
    <row r="143" spans="2:17" x14ac:dyDescent="0.2">
      <c r="B143" s="192"/>
      <c r="C143" s="198"/>
      <c r="D143" s="200" t="s">
        <v>31</v>
      </c>
      <c r="E143" s="202">
        <v>12</v>
      </c>
      <c r="F143" s="57" t="s">
        <v>90</v>
      </c>
      <c r="G143" s="55"/>
      <c r="H143" s="58"/>
      <c r="I143" s="195"/>
      <c r="J143" s="192"/>
      <c r="K143" s="198"/>
      <c r="L143" s="200" t="s">
        <v>31</v>
      </c>
      <c r="M143" s="203">
        <v>10</v>
      </c>
      <c r="N143" s="50" t="s">
        <v>90</v>
      </c>
      <c r="O143" s="9"/>
      <c r="P143" s="10"/>
      <c r="Q143" s="174"/>
    </row>
    <row r="144" spans="2:17" x14ac:dyDescent="0.2">
      <c r="B144" s="183"/>
      <c r="C144" s="184"/>
      <c r="D144" s="184"/>
      <c r="E144" s="184"/>
      <c r="F144" s="54"/>
      <c r="G144" s="54"/>
      <c r="H144" s="185"/>
      <c r="I144" s="186"/>
      <c r="J144" s="183"/>
      <c r="K144" s="184"/>
      <c r="L144" s="184"/>
      <c r="M144" s="184"/>
      <c r="N144" s="8"/>
      <c r="O144" s="8"/>
      <c r="P144" s="185"/>
      <c r="Q144" s="187"/>
    </row>
    <row r="145" spans="1:22" x14ac:dyDescent="0.2">
      <c r="B145" s="192" t="s">
        <v>32</v>
      </c>
      <c r="C145" s="193"/>
      <c r="D145" s="204" t="s">
        <v>33</v>
      </c>
      <c r="E145" s="205"/>
      <c r="F145" s="55">
        <f>'[2]11-25 payroll'!P15</f>
        <v>0</v>
      </c>
      <c r="G145" s="55"/>
      <c r="H145" s="58"/>
      <c r="I145" s="195"/>
      <c r="J145" s="192" t="s">
        <v>32</v>
      </c>
      <c r="K145" s="193"/>
      <c r="L145" s="204" t="s">
        <v>33</v>
      </c>
      <c r="M145" s="205"/>
      <c r="N145" s="9">
        <f>'[2]11-25 payroll'!P112</f>
        <v>0</v>
      </c>
      <c r="O145" s="9"/>
      <c r="P145" s="10"/>
    </row>
    <row r="146" spans="1:22" x14ac:dyDescent="0.2">
      <c r="B146" s="192"/>
      <c r="C146" s="193"/>
      <c r="D146" s="204" t="s">
        <v>95</v>
      </c>
      <c r="E146" s="205"/>
      <c r="F146" s="55">
        <v>120</v>
      </c>
      <c r="G146" s="55"/>
      <c r="H146" s="58"/>
      <c r="I146" s="195"/>
      <c r="J146" s="192"/>
      <c r="K146" s="193"/>
      <c r="L146" s="204" t="s">
        <v>95</v>
      </c>
      <c r="M146" s="205"/>
      <c r="N146" s="9">
        <v>130</v>
      </c>
      <c r="O146" s="9"/>
      <c r="P146" s="10"/>
    </row>
    <row r="147" spans="1:22" x14ac:dyDescent="0.2">
      <c r="B147" s="192"/>
      <c r="C147" s="193"/>
      <c r="D147" s="204" t="s">
        <v>34</v>
      </c>
      <c r="E147" s="205"/>
      <c r="F147" s="55">
        <f>'[2]11-25 payroll'!R15</f>
        <v>0</v>
      </c>
      <c r="G147" s="55"/>
      <c r="H147" s="58"/>
      <c r="I147" s="195"/>
      <c r="J147" s="192"/>
      <c r="K147" s="193"/>
      <c r="L147" s="204" t="s">
        <v>34</v>
      </c>
      <c r="M147" s="205"/>
      <c r="N147" s="9">
        <v>1054</v>
      </c>
      <c r="O147" s="9"/>
      <c r="P147" s="10"/>
    </row>
    <row r="148" spans="1:22" x14ac:dyDescent="0.2">
      <c r="B148" s="192"/>
      <c r="C148" s="193"/>
      <c r="D148" s="204" t="s">
        <v>35</v>
      </c>
      <c r="E148" s="205"/>
      <c r="F148" s="55">
        <f>'[2]11-25 payroll'!T15</f>
        <v>0</v>
      </c>
      <c r="G148" s="55"/>
      <c r="H148" s="58"/>
      <c r="I148" s="195"/>
      <c r="J148" s="192"/>
      <c r="K148" s="193"/>
      <c r="L148" s="204" t="s">
        <v>35</v>
      </c>
      <c r="M148" s="205"/>
      <c r="N148" s="9">
        <f>'[2]11-25 payroll'!T112</f>
        <v>0</v>
      </c>
      <c r="O148" s="9"/>
      <c r="P148" s="10"/>
    </row>
    <row r="149" spans="1:22" x14ac:dyDescent="0.2">
      <c r="B149" s="192"/>
      <c r="C149" s="193"/>
      <c r="D149" s="204" t="s">
        <v>99</v>
      </c>
      <c r="E149" s="205"/>
      <c r="F149" s="59">
        <f>'[2]11-25 payroll'!V15+'[2]11-25 payroll'!W15+'[2]11-25 payroll'!O43+'[2]11-25 payroll'!P43+'[2]11-25 payroll'!Q43</f>
        <v>0</v>
      </c>
      <c r="G149" s="55"/>
      <c r="H149" s="56">
        <f>SUM(F145:F149)</f>
        <v>120</v>
      </c>
      <c r="I149" s="195"/>
      <c r="J149" s="192"/>
      <c r="K149" s="193"/>
      <c r="L149" s="204" t="s">
        <v>99</v>
      </c>
      <c r="M149" s="205"/>
      <c r="N149" s="11">
        <f>'[2]11-25 payroll'!W112+'[2]11-25 payroll'!O44+'[2]11-25 payroll'!P44+'[2]11-25 payroll'!Q44</f>
        <v>0</v>
      </c>
      <c r="O149" s="9"/>
      <c r="P149" s="10">
        <f>SUM(N145:N149)</f>
        <v>1184</v>
      </c>
      <c r="Q149" s="187"/>
    </row>
    <row r="150" spans="1:22" x14ac:dyDescent="0.2">
      <c r="B150" s="192" t="s">
        <v>36</v>
      </c>
      <c r="C150" s="198"/>
      <c r="D150" s="198"/>
      <c r="E150" s="198"/>
      <c r="F150" s="55"/>
      <c r="G150" s="55"/>
      <c r="H150" s="58"/>
      <c r="I150" s="195"/>
      <c r="J150" s="192" t="s">
        <v>36</v>
      </c>
      <c r="K150" s="198"/>
      <c r="L150" s="198"/>
      <c r="M150" s="198"/>
      <c r="N150" s="9"/>
      <c r="O150" s="9"/>
      <c r="P150" s="10"/>
      <c r="Q150" s="174"/>
    </row>
    <row r="151" spans="1:22" x14ac:dyDescent="0.2">
      <c r="B151" s="192"/>
      <c r="C151" s="198"/>
      <c r="D151" s="206" t="s">
        <v>4</v>
      </c>
      <c r="E151" s="205"/>
      <c r="F151" s="55">
        <f>'[2]11-25 payroll'!J30</f>
        <v>0</v>
      </c>
      <c r="G151" s="55"/>
      <c r="H151" s="207"/>
      <c r="I151" s="195"/>
      <c r="J151" s="192"/>
      <c r="K151" s="198"/>
      <c r="L151" s="206" t="s">
        <v>4</v>
      </c>
      <c r="M151" s="205"/>
      <c r="N151" s="9">
        <v>490.5</v>
      </c>
      <c r="O151" s="9"/>
      <c r="P151" s="207"/>
      <c r="Q151" s="174"/>
    </row>
    <row r="152" spans="1:22" x14ac:dyDescent="0.2">
      <c r="B152" s="192"/>
      <c r="C152" s="198"/>
      <c r="D152" s="206" t="s">
        <v>96</v>
      </c>
      <c r="E152" s="205"/>
      <c r="F152" s="55">
        <v>600</v>
      </c>
      <c r="G152" s="55"/>
      <c r="H152" s="207"/>
      <c r="I152" s="195"/>
      <c r="J152" s="192"/>
      <c r="K152" s="198"/>
      <c r="L152" s="206" t="s">
        <v>96</v>
      </c>
      <c r="M152" s="205"/>
      <c r="N152" s="9">
        <v>600</v>
      </c>
      <c r="O152" s="9"/>
      <c r="P152" s="207"/>
      <c r="Q152" s="174"/>
    </row>
    <row r="153" spans="1:22" x14ac:dyDescent="0.2">
      <c r="B153" s="192"/>
      <c r="C153" s="198"/>
      <c r="D153" s="206" t="s">
        <v>37</v>
      </c>
      <c r="E153" s="205"/>
      <c r="F153" s="55">
        <f>'[2]11-25 payroll'!L30</f>
        <v>0</v>
      </c>
      <c r="G153" s="55"/>
      <c r="H153" s="207"/>
      <c r="I153" s="195"/>
      <c r="J153" s="192"/>
      <c r="K153" s="198"/>
      <c r="L153" s="206" t="s">
        <v>37</v>
      </c>
      <c r="M153" s="205"/>
      <c r="N153" s="9">
        <v>162.5</v>
      </c>
      <c r="O153" s="9"/>
      <c r="P153" s="207"/>
    </row>
    <row r="154" spans="1:22" x14ac:dyDescent="0.2">
      <c r="B154" s="192"/>
      <c r="C154" s="198"/>
      <c r="D154" s="206" t="s">
        <v>38</v>
      </c>
      <c r="E154" s="205"/>
      <c r="F154" s="55">
        <f>'[2]11-25 payroll'!O30</f>
        <v>0</v>
      </c>
      <c r="G154" s="55"/>
      <c r="H154" s="207"/>
      <c r="I154" s="195"/>
      <c r="J154" s="192"/>
      <c r="K154" s="198"/>
      <c r="L154" s="206" t="s">
        <v>38</v>
      </c>
      <c r="M154" s="205"/>
      <c r="N154" s="208">
        <f>'[2]11-25 payroll'!R127</f>
        <v>0</v>
      </c>
      <c r="O154" s="9"/>
      <c r="P154" s="207"/>
    </row>
    <row r="155" spans="1:22" x14ac:dyDescent="0.2">
      <c r="B155" s="192"/>
      <c r="C155" s="198"/>
      <c r="D155" s="206" t="s">
        <v>98</v>
      </c>
      <c r="E155" s="205"/>
      <c r="F155" s="55">
        <v>560</v>
      </c>
      <c r="G155" s="55"/>
      <c r="H155" s="207"/>
      <c r="I155" s="195"/>
      <c r="J155" s="192"/>
      <c r="K155" s="198"/>
      <c r="L155" s="206" t="s">
        <v>98</v>
      </c>
      <c r="M155" s="205"/>
      <c r="N155" s="9">
        <v>560</v>
      </c>
      <c r="O155" s="9"/>
      <c r="P155" s="207"/>
    </row>
    <row r="156" spans="1:22" x14ac:dyDescent="0.2">
      <c r="B156" s="192"/>
      <c r="C156" s="198"/>
      <c r="D156" s="198" t="s">
        <v>43</v>
      </c>
      <c r="E156" s="205"/>
      <c r="F156" s="55">
        <f>'[2]11-25 payroll'!E64</f>
        <v>0</v>
      </c>
      <c r="G156" s="55"/>
      <c r="H156" s="207"/>
      <c r="I156" s="195"/>
      <c r="J156" s="192"/>
      <c r="K156" s="198"/>
      <c r="L156" s="198" t="s">
        <v>43</v>
      </c>
      <c r="M156" s="205"/>
      <c r="N156" s="9">
        <v>42.3</v>
      </c>
      <c r="O156" s="9"/>
      <c r="P156" s="207"/>
    </row>
    <row r="157" spans="1:22" x14ac:dyDescent="0.2">
      <c r="B157" s="192"/>
      <c r="C157" s="198"/>
      <c r="D157" s="206" t="s">
        <v>39</v>
      </c>
      <c r="E157" s="205"/>
      <c r="F157" s="55">
        <f>'[2]11-25 payroll'!F30+'[2]11-25 payroll'!H30</f>
        <v>0</v>
      </c>
      <c r="G157" s="55"/>
      <c r="H157" s="209"/>
      <c r="I157" s="195"/>
      <c r="J157" s="192"/>
      <c r="K157" s="198"/>
      <c r="L157" s="206" t="s">
        <v>39</v>
      </c>
      <c r="M157" s="205"/>
      <c r="N157" s="9">
        <f>'[2]11-25 payroll'!F127+'[2]11-25 payroll'!H127</f>
        <v>0</v>
      </c>
      <c r="O157" s="9"/>
      <c r="P157" s="209"/>
      <c r="Q157" s="187"/>
    </row>
    <row r="158" spans="1:22" x14ac:dyDescent="0.2">
      <c r="B158" s="192"/>
      <c r="C158" s="198"/>
      <c r="D158" s="206" t="s">
        <v>97</v>
      </c>
      <c r="E158" s="205"/>
      <c r="F158" s="55">
        <v>567</v>
      </c>
      <c r="G158" s="55"/>
      <c r="H158" s="209"/>
      <c r="I158" s="195"/>
      <c r="J158" s="192"/>
      <c r="K158" s="198"/>
      <c r="L158" s="206" t="s">
        <v>97</v>
      </c>
      <c r="M158" s="205"/>
      <c r="N158" s="9">
        <v>567</v>
      </c>
      <c r="O158" s="9"/>
      <c r="P158" s="209"/>
      <c r="Q158" s="187"/>
    </row>
    <row r="159" spans="1:22" x14ac:dyDescent="0.2">
      <c r="B159" s="192"/>
      <c r="C159" s="198"/>
      <c r="D159" s="198" t="s">
        <v>6</v>
      </c>
      <c r="E159" s="205"/>
      <c r="F159" s="55">
        <v>100</v>
      </c>
      <c r="G159" s="55"/>
      <c r="H159" s="211">
        <f>-SUM(F151:F159)</f>
        <v>-1827</v>
      </c>
      <c r="I159" s="195"/>
      <c r="J159" s="192"/>
      <c r="K159" s="198"/>
      <c r="L159" s="198" t="s">
        <v>6</v>
      </c>
      <c r="M159" s="205"/>
      <c r="N159" s="9">
        <f>'[2]11-25 payroll'!P127</f>
        <v>0</v>
      </c>
      <c r="O159" s="9"/>
      <c r="P159" s="211">
        <f>-SUM(N151:N159)</f>
        <v>-2422.3000000000002</v>
      </c>
      <c r="Q159" s="187"/>
    </row>
    <row r="160" spans="1:22" ht="13.5" thickBot="1" x14ac:dyDescent="0.25">
      <c r="A160" s="174"/>
      <c r="B160" s="197" t="s">
        <v>40</v>
      </c>
      <c r="C160" s="212"/>
      <c r="D160" s="212"/>
      <c r="E160" s="212"/>
      <c r="F160" s="60"/>
      <c r="G160" s="60"/>
      <c r="H160" s="213">
        <f>SUM(H142:H159)</f>
        <v>4617</v>
      </c>
      <c r="I160" s="214"/>
      <c r="J160" s="197" t="s">
        <v>40</v>
      </c>
      <c r="K160" s="212"/>
      <c r="L160" s="212"/>
      <c r="M160" s="212"/>
      <c r="N160" s="12"/>
      <c r="O160" s="12"/>
      <c r="P160" s="213">
        <f>SUM(P142:P159)</f>
        <v>4031.7</v>
      </c>
      <c r="Q160" s="174"/>
      <c r="T160" s="216">
        <f>+H160-'[2]11-25 payroll'!S43</f>
        <v>4617</v>
      </c>
      <c r="V160" s="237">
        <f>+P160-'[2]11-25 payroll'!S44</f>
        <v>4031.7</v>
      </c>
    </row>
    <row r="161" spans="2:17" ht="13.5" thickTop="1" x14ac:dyDescent="0.2">
      <c r="B161" s="192" t="s">
        <v>41</v>
      </c>
      <c r="C161" s="198"/>
      <c r="D161" s="198"/>
      <c r="E161" s="198"/>
      <c r="F161" s="55"/>
      <c r="G161" s="55"/>
      <c r="H161" s="194"/>
      <c r="I161" s="195"/>
      <c r="J161" s="192" t="s">
        <v>41</v>
      </c>
      <c r="K161" s="198"/>
      <c r="L161" s="198"/>
      <c r="M161" s="198"/>
      <c r="N161" s="9"/>
      <c r="O161" s="9"/>
      <c r="P161" s="194"/>
      <c r="Q161" s="187"/>
    </row>
    <row r="162" spans="2:17" x14ac:dyDescent="0.2">
      <c r="B162" s="192"/>
      <c r="C162" s="198"/>
      <c r="D162" s="198"/>
      <c r="E162" s="198"/>
      <c r="F162" s="55"/>
      <c r="G162" s="55"/>
      <c r="H162" s="194"/>
      <c r="I162" s="195"/>
      <c r="J162" s="192"/>
      <c r="K162" s="198"/>
      <c r="L162" s="198"/>
      <c r="M162" s="198"/>
      <c r="N162" s="9"/>
      <c r="O162" s="9"/>
      <c r="P162" s="194"/>
      <c r="Q162" s="174"/>
    </row>
    <row r="163" spans="2:17" x14ac:dyDescent="0.2">
      <c r="B163" s="192" t="s">
        <v>42</v>
      </c>
      <c r="C163" s="198"/>
      <c r="D163" s="198"/>
      <c r="E163" s="198"/>
      <c r="F163" s="61"/>
      <c r="G163" s="61"/>
      <c r="H163" s="194"/>
      <c r="I163" s="219"/>
      <c r="J163" s="192" t="s">
        <v>42</v>
      </c>
      <c r="K163" s="198"/>
      <c r="L163" s="198"/>
      <c r="M163" s="198"/>
      <c r="N163" s="13"/>
      <c r="O163" s="13"/>
      <c r="P163" s="194"/>
      <c r="Q163" s="174"/>
    </row>
    <row r="164" spans="2:17" ht="13.5" thickBot="1" x14ac:dyDescent="0.25">
      <c r="B164" s="229"/>
      <c r="C164" s="230"/>
      <c r="D164" s="230"/>
      <c r="E164" s="230"/>
      <c r="F164" s="62"/>
      <c r="G164" s="62"/>
      <c r="H164" s="231"/>
      <c r="I164" s="223"/>
      <c r="J164" s="224"/>
      <c r="K164" s="225"/>
      <c r="L164" s="225"/>
      <c r="M164" s="225"/>
      <c r="N164" s="14"/>
      <c r="O164" s="14"/>
      <c r="P164" s="226"/>
    </row>
    <row r="165" spans="2:17" x14ac:dyDescent="0.2">
      <c r="J165" s="170"/>
      <c r="K165" s="228"/>
      <c r="L165" s="228"/>
      <c r="M165" s="228"/>
      <c r="N165" s="7"/>
      <c r="O165" s="7"/>
      <c r="P165" s="228"/>
    </row>
  </sheetData>
  <protectedRanges>
    <protectedRange password="A316" sqref="A10:G10 A1:Q8 A9:C9 G9:Q9 A11:Q165 I10:Q10" name="Payslip"/>
  </protectedRanges>
  <mergeCells count="60">
    <mergeCell ref="B2:H2"/>
    <mergeCell ref="J2:P2"/>
    <mergeCell ref="B3:H3"/>
    <mergeCell ref="J3:P3"/>
    <mergeCell ref="B5:H5"/>
    <mergeCell ref="J5:P5"/>
    <mergeCell ref="D7:F7"/>
    <mergeCell ref="L7:N7"/>
    <mergeCell ref="D8:F8"/>
    <mergeCell ref="L8:N8"/>
    <mergeCell ref="D9:F9"/>
    <mergeCell ref="L9:N9"/>
    <mergeCell ref="B35:H35"/>
    <mergeCell ref="J35:P35"/>
    <mergeCell ref="B36:H36"/>
    <mergeCell ref="J36:P36"/>
    <mergeCell ref="B38:H38"/>
    <mergeCell ref="J38:P38"/>
    <mergeCell ref="D40:F40"/>
    <mergeCell ref="L40:N40"/>
    <mergeCell ref="D41:F41"/>
    <mergeCell ref="L41:N41"/>
    <mergeCell ref="D42:F42"/>
    <mergeCell ref="L42:N42"/>
    <mergeCell ref="B68:H68"/>
    <mergeCell ref="J68:P68"/>
    <mergeCell ref="B69:H69"/>
    <mergeCell ref="J69:P69"/>
    <mergeCell ref="B71:H71"/>
    <mergeCell ref="J71:P71"/>
    <mergeCell ref="D73:F73"/>
    <mergeCell ref="L73:N73"/>
    <mergeCell ref="D74:F74"/>
    <mergeCell ref="L74:N74"/>
    <mergeCell ref="D75:F75"/>
    <mergeCell ref="L75:N75"/>
    <mergeCell ref="B101:H101"/>
    <mergeCell ref="J101:P101"/>
    <mergeCell ref="B102:H102"/>
    <mergeCell ref="J102:P102"/>
    <mergeCell ref="B104:H104"/>
    <mergeCell ref="J104:P104"/>
    <mergeCell ref="D106:F106"/>
    <mergeCell ref="L106:N106"/>
    <mergeCell ref="D107:F107"/>
    <mergeCell ref="L107:N107"/>
    <mergeCell ref="D108:F108"/>
    <mergeCell ref="L108:N108"/>
    <mergeCell ref="B134:H134"/>
    <mergeCell ref="J134:P134"/>
    <mergeCell ref="B135:H135"/>
    <mergeCell ref="J135:P135"/>
    <mergeCell ref="B137:H137"/>
    <mergeCell ref="J137:P137"/>
    <mergeCell ref="D139:F139"/>
    <mergeCell ref="L139:N139"/>
    <mergeCell ref="D140:F140"/>
    <mergeCell ref="L140:N140"/>
    <mergeCell ref="D141:F141"/>
    <mergeCell ref="L141:N141"/>
  </mergeCells>
  <pageMargins left="1" right="0.7" top="0.25" bottom="0.75" header="0.3" footer="0.3"/>
  <pageSetup paperSize="5" scale="70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5</vt:i4>
      </vt:variant>
    </vt:vector>
  </HeadingPairs>
  <TitlesOfParts>
    <vt:vector size="14" baseType="lpstr">
      <vt:lpstr>10.26-11.10</vt:lpstr>
      <vt:lpstr>10.26-11.10(SI)</vt:lpstr>
      <vt:lpstr>26-10 payroll</vt:lpstr>
      <vt:lpstr>26-10 payslip</vt:lpstr>
      <vt:lpstr>11-25 payroll</vt:lpstr>
      <vt:lpstr>11-25 payslip</vt:lpstr>
      <vt:lpstr>Contribution</vt:lpstr>
      <vt:lpstr>TIME CONVERSION</vt:lpstr>
      <vt:lpstr>Sheet1</vt:lpstr>
      <vt:lpstr>'11-25 payroll'!Print_Area</vt:lpstr>
      <vt:lpstr>'11-25 payslip'!Print_Area</vt:lpstr>
      <vt:lpstr>'26-10 payroll'!Print_Area</vt:lpstr>
      <vt:lpstr>'26-10 payslip'!Print_Area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RJHAY</dc:creator>
  <cp:lastModifiedBy>Tosh</cp:lastModifiedBy>
  <cp:lastPrinted>2020-10-01T02:59:33Z</cp:lastPrinted>
  <dcterms:created xsi:type="dcterms:W3CDTF">2010-01-04T12:18:59Z</dcterms:created>
  <dcterms:modified xsi:type="dcterms:W3CDTF">2009-12-31T19:15:17Z</dcterms:modified>
</cp:coreProperties>
</file>