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6.xml" ContentType="application/vnd.openxmlformats-officedocument.drawing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7.xml" ContentType="application/vnd.openxmlformats-officedocument.drawing+xml"/>
  <Override PartName="/xl/charts/chart1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1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1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2060909\Documents\Task\CardStock Forecast\"/>
    </mc:Choice>
  </mc:AlternateContent>
  <xr:revisionPtr revIDLastSave="0" documentId="13_ncr:1_{CD560D81-D927-45C3-B95D-3CA90FCF60A2}" xr6:coauthVersionLast="47" xr6:coauthVersionMax="47" xr10:uidLastSave="{00000000-0000-0000-0000-000000000000}"/>
  <bookViews>
    <workbookView xWindow="-110" yWindow="-110" windowWidth="19420" windowHeight="10420" firstSheet="1" activeTab="5" xr2:uid="{1C5DC236-684E-430D-92C0-F3DC3A32D626}"/>
  </bookViews>
  <sheets>
    <sheet name="Exp Smoothing - Orange" sheetId="5" r:id="rId1"/>
    <sheet name="Exp Smoothing - Orange Opt" sheetId="6" r:id="rId2"/>
    <sheet name="Holt-Winters add" sheetId="2" r:id="rId3"/>
    <sheet name="Holt-Winters mlt" sheetId="1" r:id="rId4"/>
    <sheet name="ARIMA" sheetId="3" r:id="rId5"/>
    <sheet name="Summary" sheetId="4" r:id="rId6"/>
    <sheet name="one_third" sheetId="8" r:id="rId7"/>
    <sheet name="Daily" sheetId="7" r:id="rId8"/>
  </sheets>
  <definedNames>
    <definedName name="DataRange" localSheetId="0">#REF!</definedName>
    <definedName name="DataRange" localSheetId="1">#REF!</definedName>
    <definedName name="DataRange">#REF!</definedName>
    <definedName name="solver_adj" localSheetId="1" hidden="1">'Exp Smoothing - Orange Opt'!$G$1</definedName>
    <definedName name="solver_adj" localSheetId="2" hidden="1">'Holt-Winters add'!$F$96:$H$96</definedName>
    <definedName name="solver_adj" localSheetId="3" hidden="1">'Holt-Winters mlt'!$F$93:$H$93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drv" localSheetId="1" hidden="1">1</definedName>
    <definedName name="solver_drv" localSheetId="2" hidden="1">2</definedName>
    <definedName name="solver_drv" localSheetId="3" hidden="1">2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lhs1" localSheetId="1" hidden="1">'Exp Smoothing - Orange Opt'!$G$1</definedName>
    <definedName name="solver_lhs1" localSheetId="2" hidden="1">'Holt-Winters add'!$F$96:$H$96</definedName>
    <definedName name="solver_lhs1" localSheetId="3" hidden="1">'Holt-Winters mlt'!$F$93:$H$93</definedName>
    <definedName name="solver_lhs2" localSheetId="1" hidden="1">'Exp Smoothing - Orange Opt'!$G$1</definedName>
    <definedName name="solver_lhs2" localSheetId="2" hidden="1">'Holt-Winters add'!$F$96:$H$96</definedName>
    <definedName name="solver_lhs2" localSheetId="3" hidden="1">'Holt-Winters mlt'!$F$93:$H$93</definedName>
    <definedName name="solver_lhs3" localSheetId="2" hidden="1">'Holt-Winters add'!$F$96:$H$96</definedName>
    <definedName name="solver_lhs3" localSheetId="3" hidden="1">'Holt-Winters mlt'!$H$93</definedName>
    <definedName name="solver_lhs4" localSheetId="2" hidden="1">'Holt-Winters add'!$G$96</definedName>
    <definedName name="solver_lhs5" localSheetId="2" hidden="1">'Holt-Winters add'!$H$96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um" localSheetId="1" hidden="1">2</definedName>
    <definedName name="solver_num" localSheetId="2" hidden="1">2</definedName>
    <definedName name="solver_num" localSheetId="3" hidden="1">2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opt" localSheetId="1" hidden="1">'Exp Smoothing - Orange Opt'!$G$96</definedName>
    <definedName name="solver_opt" localSheetId="2" hidden="1">'Holt-Winters add'!$I$96</definedName>
    <definedName name="solver_opt" localSheetId="3" hidden="1">'Holt-Winters mlt'!$K$93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rbv" localSheetId="1" hidden="1">1</definedName>
    <definedName name="solver_rbv" localSheetId="2" hidden="1">2</definedName>
    <definedName name="solver_rbv" localSheetId="3" hidden="1">2</definedName>
    <definedName name="solver_rel1" localSheetId="1" hidden="1">1</definedName>
    <definedName name="solver_rel1" localSheetId="2" hidden="1">1</definedName>
    <definedName name="solver_rel1" localSheetId="3" hidden="1">1</definedName>
    <definedName name="solver_rel2" localSheetId="1" hidden="1">3</definedName>
    <definedName name="solver_rel2" localSheetId="2" hidden="1">3</definedName>
    <definedName name="solver_rel2" localSheetId="3" hidden="1">3</definedName>
    <definedName name="solver_rel3" localSheetId="2" hidden="1">3</definedName>
    <definedName name="solver_rel3" localSheetId="3" hidden="1">1</definedName>
    <definedName name="solver_rel4" localSheetId="2" hidden="1">1</definedName>
    <definedName name="solver_rel5" localSheetId="2" hidden="1">1</definedName>
    <definedName name="solver_rhs1" localSheetId="1" hidden="1">1</definedName>
    <definedName name="solver_rhs1" localSheetId="2" hidden="1">1</definedName>
    <definedName name="solver_rhs1" localSheetId="3" hidden="1">1</definedName>
    <definedName name="solver_rhs2" localSheetId="1" hidden="1">0</definedName>
    <definedName name="solver_rhs2" localSheetId="2" hidden="1">0</definedName>
    <definedName name="solver_rhs2" localSheetId="3" hidden="1">0</definedName>
    <definedName name="solver_rhs3" localSheetId="2" hidden="1">0</definedName>
    <definedName name="solver_rhs3" localSheetId="3" hidden="1">1</definedName>
    <definedName name="solver_rhs4" localSheetId="2" hidden="1">1</definedName>
    <definedName name="solver_rhs5" localSheetId="2" hidden="1">1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scl" localSheetId="1" hidden="1">1</definedName>
    <definedName name="solver_scl" localSheetId="2" hidden="1">2</definedName>
    <definedName name="solver_scl" localSheetId="3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er" localSheetId="1" hidden="1">3</definedName>
    <definedName name="solver_ver" localSheetId="2" hidden="1">3</definedName>
    <definedName name="solver_ver" localSheetId="3" hidden="1">3</definedName>
  </definedNames>
  <calcPr calcId="191029"/>
  <pivotCaches>
    <pivotCache cacheId="0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0" i="4" l="1"/>
  <c r="F25" i="4"/>
  <c r="F29" i="4"/>
  <c r="F28" i="4"/>
  <c r="G38" i="4"/>
  <c r="G37" i="4"/>
  <c r="F37" i="4"/>
  <c r="E38" i="4"/>
  <c r="F38" i="4" s="1"/>
  <c r="E37" i="4"/>
  <c r="I25" i="4" l="1"/>
  <c r="I24" i="4"/>
  <c r="I23" i="4"/>
  <c r="H25" i="4"/>
  <c r="H24" i="4"/>
  <c r="H23" i="4"/>
  <c r="G25" i="4"/>
  <c r="G24" i="4"/>
  <c r="G23" i="4"/>
  <c r="F24" i="4"/>
  <c r="F23" i="4"/>
  <c r="E25" i="4"/>
  <c r="E24" i="4"/>
  <c r="E23" i="4"/>
  <c r="D25" i="4"/>
  <c r="D24" i="4"/>
  <c r="D23" i="4"/>
  <c r="O84" i="2" l="1"/>
  <c r="N84" i="2"/>
  <c r="M84" i="2"/>
  <c r="K16" i="4" l="1"/>
  <c r="K15" i="4"/>
  <c r="K14" i="4"/>
  <c r="D85" i="3"/>
  <c r="D84" i="3"/>
  <c r="D83" i="3"/>
  <c r="D82" i="3"/>
  <c r="D81" i="3"/>
  <c r="K87" i="1"/>
  <c r="K86" i="1"/>
  <c r="K85" i="1"/>
  <c r="K84" i="1"/>
  <c r="K83" i="1"/>
  <c r="K87" i="2"/>
  <c r="K86" i="2"/>
  <c r="K85" i="2"/>
  <c r="K84" i="2"/>
  <c r="K83" i="2"/>
  <c r="K13" i="4"/>
  <c r="K12" i="4"/>
  <c r="D85" i="6"/>
  <c r="D84" i="6"/>
  <c r="D83" i="6"/>
  <c r="D82" i="6"/>
  <c r="D81" i="6"/>
  <c r="D85" i="5"/>
  <c r="D84" i="5"/>
  <c r="D83" i="5"/>
  <c r="D82" i="5"/>
  <c r="D81" i="5"/>
  <c r="K14" i="8"/>
  <c r="K13" i="8"/>
  <c r="K12" i="8"/>
  <c r="J14" i="8"/>
  <c r="I14" i="8"/>
  <c r="H14" i="8"/>
  <c r="G14" i="8"/>
  <c r="F14" i="8"/>
  <c r="E14" i="8"/>
  <c r="D14" i="8"/>
  <c r="C14" i="8"/>
  <c r="J13" i="8"/>
  <c r="I13" i="8"/>
  <c r="H13" i="8"/>
  <c r="G13" i="8"/>
  <c r="F13" i="8"/>
  <c r="E13" i="8"/>
  <c r="D13" i="8"/>
  <c r="C13" i="8"/>
  <c r="J12" i="8"/>
  <c r="I12" i="8"/>
  <c r="H12" i="8"/>
  <c r="G12" i="8"/>
  <c r="F12" i="8"/>
  <c r="E12" i="8"/>
  <c r="D12" i="8"/>
  <c r="C12" i="8"/>
  <c r="B14" i="8"/>
  <c r="B13" i="8"/>
  <c r="B12" i="8"/>
  <c r="L67" i="7"/>
  <c r="K67" i="7"/>
  <c r="J67" i="7"/>
  <c r="I67" i="7"/>
  <c r="H67" i="7"/>
  <c r="G67" i="7"/>
  <c r="F67" i="7"/>
  <c r="E67" i="7"/>
  <c r="D67" i="7"/>
  <c r="L66" i="7"/>
  <c r="K66" i="7"/>
  <c r="J66" i="7"/>
  <c r="I66" i="7"/>
  <c r="H66" i="7"/>
  <c r="G66" i="7"/>
  <c r="F66" i="7"/>
  <c r="E66" i="7"/>
  <c r="D66" i="7"/>
  <c r="L65" i="7"/>
  <c r="K65" i="7"/>
  <c r="J65" i="7"/>
  <c r="I65" i="7"/>
  <c r="H65" i="7"/>
  <c r="G65" i="7"/>
  <c r="F65" i="7"/>
  <c r="E65" i="7"/>
  <c r="D65" i="7"/>
  <c r="L64" i="7"/>
  <c r="K64" i="7"/>
  <c r="J64" i="7"/>
  <c r="I64" i="7"/>
  <c r="H64" i="7"/>
  <c r="G64" i="7"/>
  <c r="F64" i="7"/>
  <c r="E64" i="7"/>
  <c r="D64" i="7"/>
  <c r="L63" i="7"/>
  <c r="K63" i="7"/>
  <c r="J63" i="7"/>
  <c r="I63" i="7"/>
  <c r="H63" i="7"/>
  <c r="G63" i="7"/>
  <c r="F63" i="7"/>
  <c r="E63" i="7"/>
  <c r="D63" i="7"/>
  <c r="L62" i="7"/>
  <c r="K62" i="7"/>
  <c r="J62" i="7"/>
  <c r="I62" i="7"/>
  <c r="H62" i="7"/>
  <c r="G62" i="7"/>
  <c r="F62" i="7"/>
  <c r="E62" i="7"/>
  <c r="D62" i="7"/>
  <c r="L61" i="7"/>
  <c r="K61" i="7"/>
  <c r="J61" i="7"/>
  <c r="I61" i="7"/>
  <c r="H61" i="7"/>
  <c r="G61" i="7"/>
  <c r="F61" i="7"/>
  <c r="E61" i="7"/>
  <c r="D61" i="7"/>
  <c r="L60" i="7"/>
  <c r="K60" i="7"/>
  <c r="J60" i="7"/>
  <c r="I60" i="7"/>
  <c r="H60" i="7"/>
  <c r="G60" i="7"/>
  <c r="F60" i="7"/>
  <c r="E60" i="7"/>
  <c r="D60" i="7"/>
  <c r="L59" i="7"/>
  <c r="K59" i="7"/>
  <c r="J59" i="7"/>
  <c r="I59" i="7"/>
  <c r="H59" i="7"/>
  <c r="G59" i="7"/>
  <c r="F59" i="7"/>
  <c r="E59" i="7"/>
  <c r="D59" i="7"/>
  <c r="L58" i="7"/>
  <c r="K58" i="7"/>
  <c r="J58" i="7"/>
  <c r="I58" i="7"/>
  <c r="H58" i="7"/>
  <c r="G58" i="7"/>
  <c r="F58" i="7"/>
  <c r="E58" i="7"/>
  <c r="D58" i="7"/>
  <c r="L57" i="7"/>
  <c r="K57" i="7"/>
  <c r="J57" i="7"/>
  <c r="I57" i="7"/>
  <c r="H57" i="7"/>
  <c r="G57" i="7"/>
  <c r="F57" i="7"/>
  <c r="E57" i="7"/>
  <c r="D57" i="7"/>
  <c r="L56" i="7"/>
  <c r="K56" i="7"/>
  <c r="J56" i="7"/>
  <c r="I56" i="7"/>
  <c r="H56" i="7"/>
  <c r="G56" i="7"/>
  <c r="F56" i="7"/>
  <c r="E56" i="7"/>
  <c r="D56" i="7"/>
  <c r="L55" i="7"/>
  <c r="K55" i="7"/>
  <c r="J55" i="7"/>
  <c r="I55" i="7"/>
  <c r="H55" i="7"/>
  <c r="G55" i="7"/>
  <c r="F55" i="7"/>
  <c r="E55" i="7"/>
  <c r="D55" i="7"/>
  <c r="L54" i="7"/>
  <c r="K54" i="7"/>
  <c r="J54" i="7"/>
  <c r="I54" i="7"/>
  <c r="H54" i="7"/>
  <c r="G54" i="7"/>
  <c r="F54" i="7"/>
  <c r="E54" i="7"/>
  <c r="D54" i="7"/>
  <c r="L53" i="7"/>
  <c r="K53" i="7"/>
  <c r="J53" i="7"/>
  <c r="I53" i="7"/>
  <c r="H53" i="7"/>
  <c r="G53" i="7"/>
  <c r="F53" i="7"/>
  <c r="E53" i="7"/>
  <c r="D53" i="7"/>
  <c r="L52" i="7"/>
  <c r="K52" i="7"/>
  <c r="J52" i="7"/>
  <c r="I52" i="7"/>
  <c r="H52" i="7"/>
  <c r="G52" i="7"/>
  <c r="F52" i="7"/>
  <c r="E52" i="7"/>
  <c r="D52" i="7"/>
  <c r="L51" i="7"/>
  <c r="K51" i="7"/>
  <c r="J51" i="7"/>
  <c r="I51" i="7"/>
  <c r="H51" i="7"/>
  <c r="G51" i="7"/>
  <c r="F51" i="7"/>
  <c r="E51" i="7"/>
  <c r="D51" i="7"/>
  <c r="L50" i="7"/>
  <c r="K50" i="7"/>
  <c r="J50" i="7"/>
  <c r="I50" i="7"/>
  <c r="H50" i="7"/>
  <c r="G50" i="7"/>
  <c r="F50" i="7"/>
  <c r="E50" i="7"/>
  <c r="D50" i="7"/>
  <c r="L49" i="7"/>
  <c r="K49" i="7"/>
  <c r="J49" i="7"/>
  <c r="I49" i="7"/>
  <c r="H49" i="7"/>
  <c r="G49" i="7"/>
  <c r="F49" i="7"/>
  <c r="E49" i="7"/>
  <c r="D49" i="7"/>
  <c r="L48" i="7"/>
  <c r="K48" i="7"/>
  <c r="J48" i="7"/>
  <c r="I48" i="7"/>
  <c r="H48" i="7"/>
  <c r="G48" i="7"/>
  <c r="F48" i="7"/>
  <c r="E48" i="7"/>
  <c r="D48" i="7"/>
  <c r="L47" i="7"/>
  <c r="K47" i="7"/>
  <c r="J47" i="7"/>
  <c r="I47" i="7"/>
  <c r="H47" i="7"/>
  <c r="G47" i="7"/>
  <c r="F47" i="7"/>
  <c r="E47" i="7"/>
  <c r="D47" i="7"/>
  <c r="L46" i="7"/>
  <c r="K46" i="7"/>
  <c r="J46" i="7"/>
  <c r="I46" i="7"/>
  <c r="H46" i="7"/>
  <c r="G46" i="7"/>
  <c r="F46" i="7"/>
  <c r="E46" i="7"/>
  <c r="D46" i="7"/>
  <c r="L45" i="7"/>
  <c r="K45" i="7"/>
  <c r="J45" i="7"/>
  <c r="I45" i="7"/>
  <c r="H45" i="7"/>
  <c r="G45" i="7"/>
  <c r="F45" i="7"/>
  <c r="E45" i="7"/>
  <c r="D45" i="7"/>
  <c r="L44" i="7"/>
  <c r="K44" i="7"/>
  <c r="J44" i="7"/>
  <c r="I44" i="7"/>
  <c r="H44" i="7"/>
  <c r="G44" i="7"/>
  <c r="F44" i="7"/>
  <c r="E44" i="7"/>
  <c r="D44" i="7"/>
  <c r="L43" i="7"/>
  <c r="K43" i="7"/>
  <c r="J43" i="7"/>
  <c r="I43" i="7"/>
  <c r="H43" i="7"/>
  <c r="G43" i="7"/>
  <c r="F43" i="7"/>
  <c r="E43" i="7"/>
  <c r="D43" i="7"/>
  <c r="L42" i="7"/>
  <c r="K42" i="7"/>
  <c r="J42" i="7"/>
  <c r="I42" i="7"/>
  <c r="H42" i="7"/>
  <c r="G42" i="7"/>
  <c r="F42" i="7"/>
  <c r="E42" i="7"/>
  <c r="D42" i="7"/>
  <c r="L41" i="7"/>
  <c r="K41" i="7"/>
  <c r="J41" i="7"/>
  <c r="I41" i="7"/>
  <c r="H41" i="7"/>
  <c r="G41" i="7"/>
  <c r="F41" i="7"/>
  <c r="E41" i="7"/>
  <c r="D41" i="7"/>
  <c r="L40" i="7"/>
  <c r="K40" i="7"/>
  <c r="J40" i="7"/>
  <c r="I40" i="7"/>
  <c r="H40" i="7"/>
  <c r="G40" i="7"/>
  <c r="F40" i="7"/>
  <c r="E40" i="7"/>
  <c r="D40" i="7"/>
  <c r="L39" i="7"/>
  <c r="K39" i="7"/>
  <c r="J39" i="7"/>
  <c r="I39" i="7"/>
  <c r="H39" i="7"/>
  <c r="G39" i="7"/>
  <c r="F39" i="7"/>
  <c r="E39" i="7"/>
  <c r="D39" i="7"/>
  <c r="L38" i="7"/>
  <c r="K38" i="7"/>
  <c r="J38" i="7"/>
  <c r="I38" i="7"/>
  <c r="H38" i="7"/>
  <c r="G38" i="7"/>
  <c r="F38" i="7"/>
  <c r="E38" i="7"/>
  <c r="D38" i="7"/>
  <c r="L37" i="7"/>
  <c r="K37" i="7"/>
  <c r="J37" i="7"/>
  <c r="I37" i="7"/>
  <c r="H37" i="7"/>
  <c r="G37" i="7"/>
  <c r="F37" i="7"/>
  <c r="E37" i="7"/>
  <c r="D37" i="7"/>
  <c r="J16" i="4"/>
  <c r="J15" i="4"/>
  <c r="H16" i="4"/>
  <c r="G16" i="4"/>
  <c r="I16" i="4" s="1"/>
  <c r="F16" i="4"/>
  <c r="E16" i="4"/>
  <c r="D16" i="4"/>
  <c r="H8" i="4"/>
  <c r="G8" i="4"/>
  <c r="I8" i="4" s="1"/>
  <c r="F8" i="4"/>
  <c r="E8" i="4"/>
  <c r="D8" i="4"/>
  <c r="H15" i="4"/>
  <c r="G15" i="4"/>
  <c r="I15" i="4" s="1"/>
  <c r="F15" i="4"/>
  <c r="E15" i="4"/>
  <c r="D15" i="4"/>
  <c r="H7" i="4"/>
  <c r="G7" i="4"/>
  <c r="I7" i="4" s="1"/>
  <c r="F7" i="4"/>
  <c r="E7" i="4"/>
  <c r="D7" i="4"/>
  <c r="C3" i="6"/>
  <c r="C4" i="6" s="1"/>
  <c r="C5" i="6" s="1"/>
  <c r="C6" i="6" s="1"/>
  <c r="C7" i="6" s="1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C27" i="6" s="1"/>
  <c r="C28" i="6" s="1"/>
  <c r="C29" i="6" s="1"/>
  <c r="C30" i="6" s="1"/>
  <c r="C31" i="6" s="1"/>
  <c r="C3" i="5"/>
  <c r="C4" i="5" s="1"/>
  <c r="C5" i="5" s="1"/>
  <c r="C6" i="5" s="1"/>
  <c r="C7" i="5" s="1"/>
  <c r="C8" i="5" s="1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J97" i="3"/>
  <c r="J97" i="3" a="1"/>
  <c r="J96" i="3" a="1"/>
  <c r="J96" i="3" s="1"/>
  <c r="I97" i="3" a="1"/>
  <c r="I97" i="3" s="1"/>
  <c r="H97" i="3" a="1"/>
  <c r="H97" i="3" s="1"/>
  <c r="G97" i="3"/>
  <c r="F97" i="3" a="1"/>
  <c r="F97" i="3" s="1"/>
  <c r="I96" i="3" a="1"/>
  <c r="I96" i="3" s="1"/>
  <c r="H96" i="3" a="1"/>
  <c r="H96" i="3" s="1"/>
  <c r="G96" i="3"/>
  <c r="F96" i="3" a="1"/>
  <c r="F96" i="3" s="1"/>
  <c r="J87" i="1"/>
  <c r="J86" i="1"/>
  <c r="J85" i="1"/>
  <c r="J84" i="1"/>
  <c r="J83" i="1"/>
  <c r="J82" i="1"/>
  <c r="I87" i="1"/>
  <c r="I86" i="1"/>
  <c r="I85" i="1"/>
  <c r="I84" i="1"/>
  <c r="I83" i="1"/>
  <c r="I82" i="1"/>
  <c r="E87" i="1"/>
  <c r="E86" i="1"/>
  <c r="E85" i="1"/>
  <c r="E84" i="1"/>
  <c r="E83" i="1"/>
  <c r="E82" i="1"/>
  <c r="E87" i="2"/>
  <c r="E86" i="2"/>
  <c r="E85" i="2"/>
  <c r="E84" i="2"/>
  <c r="E83" i="2"/>
  <c r="E82" i="2"/>
  <c r="E80" i="2"/>
  <c r="E81" i="2"/>
  <c r="F79" i="2"/>
  <c r="E79" i="2"/>
  <c r="F78" i="2"/>
  <c r="E78" i="2"/>
  <c r="F77" i="2"/>
  <c r="E77" i="2"/>
  <c r="F76" i="2"/>
  <c r="E76" i="2"/>
  <c r="F75" i="2"/>
  <c r="E75" i="2"/>
  <c r="F74" i="2"/>
  <c r="E74" i="2"/>
  <c r="F73" i="2"/>
  <c r="E73" i="2"/>
  <c r="F72" i="2"/>
  <c r="E72" i="2"/>
  <c r="F71" i="2"/>
  <c r="E71" i="2"/>
  <c r="F70" i="2"/>
  <c r="E70" i="2"/>
  <c r="F69" i="2"/>
  <c r="E69" i="2"/>
  <c r="F68" i="2"/>
  <c r="E68" i="2"/>
  <c r="F67" i="2"/>
  <c r="E67" i="2"/>
  <c r="F66" i="2"/>
  <c r="E66" i="2"/>
  <c r="F65" i="2"/>
  <c r="E65" i="2"/>
  <c r="F64" i="2"/>
  <c r="E64" i="2"/>
  <c r="F63" i="2"/>
  <c r="E63" i="2"/>
  <c r="F62" i="2"/>
  <c r="E62" i="2"/>
  <c r="F61" i="2"/>
  <c r="E61" i="2"/>
  <c r="F60" i="2"/>
  <c r="E60" i="2"/>
  <c r="F59" i="2"/>
  <c r="E59" i="2"/>
  <c r="F58" i="2"/>
  <c r="E58" i="2"/>
  <c r="F57" i="2"/>
  <c r="E57" i="2"/>
  <c r="F56" i="2"/>
  <c r="E56" i="2"/>
  <c r="F55" i="2"/>
  <c r="E55" i="2"/>
  <c r="F54" i="2"/>
  <c r="E54" i="2"/>
  <c r="F53" i="2"/>
  <c r="E53" i="2"/>
  <c r="F52" i="2"/>
  <c r="E52" i="2"/>
  <c r="F51" i="2"/>
  <c r="E51" i="2"/>
  <c r="F50" i="2"/>
  <c r="E50" i="2"/>
  <c r="F49" i="2"/>
  <c r="E49" i="2"/>
  <c r="F48" i="2"/>
  <c r="E48" i="2"/>
  <c r="F47" i="2"/>
  <c r="E47" i="2"/>
  <c r="F46" i="2"/>
  <c r="E46" i="2"/>
  <c r="F45" i="2"/>
  <c r="E45" i="2"/>
  <c r="F44" i="2"/>
  <c r="E44" i="2"/>
  <c r="F43" i="2"/>
  <c r="E43" i="2"/>
  <c r="F42" i="2"/>
  <c r="E42" i="2"/>
  <c r="F41" i="2"/>
  <c r="E41" i="2"/>
  <c r="F40" i="2"/>
  <c r="E40" i="2"/>
  <c r="F39" i="2"/>
  <c r="E39" i="2"/>
  <c r="F38" i="2"/>
  <c r="E38" i="2"/>
  <c r="F37" i="2"/>
  <c r="E37" i="2"/>
  <c r="F36" i="2"/>
  <c r="E36" i="2"/>
  <c r="F35" i="2"/>
  <c r="E35" i="2"/>
  <c r="F34" i="2"/>
  <c r="E34" i="2"/>
  <c r="F33" i="2"/>
  <c r="E33" i="2"/>
  <c r="F32" i="2"/>
  <c r="E32" i="2"/>
  <c r="F31" i="2"/>
  <c r="E31" i="2"/>
  <c r="F30" i="2"/>
  <c r="E30" i="2"/>
  <c r="F29" i="2"/>
  <c r="E29" i="2"/>
  <c r="F28" i="2"/>
  <c r="E28" i="2"/>
  <c r="F27" i="2"/>
  <c r="E27" i="2"/>
  <c r="F26" i="2"/>
  <c r="E26" i="2"/>
  <c r="F25" i="2"/>
  <c r="E25" i="2"/>
  <c r="F24" i="2"/>
  <c r="E24" i="2"/>
  <c r="F23" i="2"/>
  <c r="E23" i="2"/>
  <c r="F22" i="2"/>
  <c r="E22" i="2"/>
  <c r="F21" i="2"/>
  <c r="E21" i="2"/>
  <c r="F20" i="2"/>
  <c r="E20" i="2"/>
  <c r="F19" i="2"/>
  <c r="E19" i="2"/>
  <c r="F18" i="2"/>
  <c r="E18" i="2"/>
  <c r="F17" i="2"/>
  <c r="E17" i="2"/>
  <c r="F16" i="2"/>
  <c r="E16" i="2"/>
  <c r="F15" i="2"/>
  <c r="E15" i="2"/>
  <c r="F14" i="2"/>
  <c r="E14" i="2"/>
  <c r="F13" i="2"/>
  <c r="E13" i="2"/>
  <c r="F12" i="2"/>
  <c r="E12" i="2"/>
  <c r="F11" i="2"/>
  <c r="E11" i="2"/>
  <c r="F10" i="2"/>
  <c r="E10" i="2"/>
  <c r="F9" i="2"/>
  <c r="E9" i="2"/>
  <c r="F8" i="2"/>
  <c r="E8" i="2"/>
  <c r="F7" i="2"/>
  <c r="E7" i="2"/>
  <c r="F6" i="2"/>
  <c r="E6" i="2"/>
  <c r="F5" i="2"/>
  <c r="I5" i="2" s="1"/>
  <c r="E5" i="2"/>
  <c r="A5" i="2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F4" i="2"/>
  <c r="E4" i="2"/>
  <c r="E3" i="2"/>
  <c r="E81" i="1"/>
  <c r="E80" i="1"/>
  <c r="F79" i="1"/>
  <c r="E79" i="1"/>
  <c r="F78" i="1"/>
  <c r="E78" i="1"/>
  <c r="F77" i="1"/>
  <c r="E77" i="1"/>
  <c r="F76" i="1"/>
  <c r="E76" i="1"/>
  <c r="F75" i="1"/>
  <c r="E75" i="1"/>
  <c r="F74" i="1"/>
  <c r="E74" i="1"/>
  <c r="F73" i="1"/>
  <c r="E73" i="1"/>
  <c r="F72" i="1"/>
  <c r="E72" i="1"/>
  <c r="F71" i="1"/>
  <c r="E71" i="1"/>
  <c r="F70" i="1"/>
  <c r="E70" i="1"/>
  <c r="F69" i="1"/>
  <c r="E69" i="1"/>
  <c r="F68" i="1"/>
  <c r="E68" i="1"/>
  <c r="F67" i="1"/>
  <c r="E67" i="1"/>
  <c r="F66" i="1"/>
  <c r="E66" i="1"/>
  <c r="F65" i="1"/>
  <c r="E65" i="1"/>
  <c r="F64" i="1"/>
  <c r="E64" i="1"/>
  <c r="F63" i="1"/>
  <c r="E63" i="1"/>
  <c r="F62" i="1"/>
  <c r="E62" i="1"/>
  <c r="F61" i="1"/>
  <c r="E61" i="1"/>
  <c r="F60" i="1"/>
  <c r="E60" i="1"/>
  <c r="F59" i="1"/>
  <c r="E59" i="1"/>
  <c r="F58" i="1"/>
  <c r="E58" i="1"/>
  <c r="F57" i="1"/>
  <c r="E57" i="1"/>
  <c r="F56" i="1"/>
  <c r="E56" i="1"/>
  <c r="F55" i="1"/>
  <c r="E55" i="1"/>
  <c r="F54" i="1"/>
  <c r="E54" i="1"/>
  <c r="F53" i="1"/>
  <c r="E53" i="1"/>
  <c r="F52" i="1"/>
  <c r="E52" i="1"/>
  <c r="F51" i="1"/>
  <c r="E51" i="1"/>
  <c r="F50" i="1"/>
  <c r="E50" i="1"/>
  <c r="F49" i="1"/>
  <c r="E49" i="1"/>
  <c r="F48" i="1"/>
  <c r="E48" i="1"/>
  <c r="F47" i="1"/>
  <c r="E47" i="1"/>
  <c r="F46" i="1"/>
  <c r="E46" i="1"/>
  <c r="F45" i="1"/>
  <c r="E45" i="1"/>
  <c r="F44" i="1"/>
  <c r="E44" i="1"/>
  <c r="F43" i="1"/>
  <c r="E43" i="1"/>
  <c r="F42" i="1"/>
  <c r="E42" i="1"/>
  <c r="F41" i="1"/>
  <c r="E41" i="1"/>
  <c r="F40" i="1"/>
  <c r="E40" i="1"/>
  <c r="F39" i="1"/>
  <c r="E39" i="1"/>
  <c r="F38" i="1"/>
  <c r="E38" i="1"/>
  <c r="F37" i="1"/>
  <c r="E37" i="1"/>
  <c r="F36" i="1"/>
  <c r="E36" i="1"/>
  <c r="F35" i="1"/>
  <c r="E35" i="1"/>
  <c r="F34" i="1"/>
  <c r="E34" i="1"/>
  <c r="F33" i="1"/>
  <c r="E33" i="1"/>
  <c r="F32" i="1"/>
  <c r="E32" i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I11" i="1" s="1"/>
  <c r="E11" i="1"/>
  <c r="F10" i="1"/>
  <c r="E10" i="1"/>
  <c r="F9" i="1"/>
  <c r="E9" i="1"/>
  <c r="F8" i="1"/>
  <c r="E8" i="1"/>
  <c r="I7" i="1"/>
  <c r="F7" i="1"/>
  <c r="E7" i="1"/>
  <c r="F6" i="1"/>
  <c r="E6" i="1"/>
  <c r="F5" i="1"/>
  <c r="E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F4" i="1"/>
  <c r="E4" i="1"/>
  <c r="E3" i="1"/>
  <c r="I15" i="2" l="1"/>
  <c r="G15" i="2" s="1"/>
  <c r="I10" i="2"/>
  <c r="I4" i="2"/>
  <c r="I9" i="2"/>
  <c r="I13" i="2"/>
  <c r="C32" i="6"/>
  <c r="C32" i="5"/>
  <c r="I9" i="1"/>
  <c r="I13" i="1"/>
  <c r="I10" i="1"/>
  <c r="I8" i="2"/>
  <c r="I6" i="2"/>
  <c r="I11" i="2"/>
  <c r="I14" i="2"/>
  <c r="I12" i="2"/>
  <c r="I7" i="2"/>
  <c r="H15" i="2"/>
  <c r="G16" i="2" s="1"/>
  <c r="I5" i="1"/>
  <c r="I8" i="1"/>
  <c r="H15" i="1"/>
  <c r="I14" i="1"/>
  <c r="I6" i="1"/>
  <c r="I12" i="1"/>
  <c r="I4" i="1"/>
  <c r="I15" i="1"/>
  <c r="C33" i="6" l="1"/>
  <c r="C33" i="5"/>
  <c r="J16" i="2"/>
  <c r="H16" i="2"/>
  <c r="J17" i="2" s="1"/>
  <c r="I16" i="2"/>
  <c r="G15" i="1"/>
  <c r="J16" i="1" s="1"/>
  <c r="C34" i="6" l="1"/>
  <c r="H39" i="6" s="1"/>
  <c r="C34" i="5"/>
  <c r="H39" i="5"/>
  <c r="G17" i="2"/>
  <c r="G16" i="1"/>
  <c r="C35" i="6" l="1"/>
  <c r="C35" i="5"/>
  <c r="H40" i="5" s="1"/>
  <c r="H17" i="2"/>
  <c r="J18" i="2" s="1"/>
  <c r="I17" i="2"/>
  <c r="H16" i="1"/>
  <c r="J17" i="1" s="1"/>
  <c r="I16" i="1"/>
  <c r="C36" i="6" l="1"/>
  <c r="H41" i="6" s="1"/>
  <c r="H40" i="6"/>
  <c r="C36" i="5"/>
  <c r="H41" i="5"/>
  <c r="G17" i="1"/>
  <c r="I17" i="1" s="1"/>
  <c r="G18" i="2"/>
  <c r="H18" i="2" s="1"/>
  <c r="J19" i="2" s="1"/>
  <c r="C37" i="6" l="1"/>
  <c r="C37" i="5"/>
  <c r="H42" i="5" s="1"/>
  <c r="H17" i="1"/>
  <c r="J18" i="1" s="1"/>
  <c r="I18" i="2"/>
  <c r="G19" i="2"/>
  <c r="H19" i="2" s="1"/>
  <c r="G20" i="2" s="1"/>
  <c r="C38" i="6" l="1"/>
  <c r="H42" i="6"/>
  <c r="C38" i="5"/>
  <c r="G18" i="1"/>
  <c r="I19" i="2"/>
  <c r="J20" i="2"/>
  <c r="L16" i="2" s="1"/>
  <c r="H20" i="2"/>
  <c r="J21" i="2" s="1"/>
  <c r="I20" i="2"/>
  <c r="H43" i="6" l="1"/>
  <c r="C39" i="6"/>
  <c r="H44" i="6" s="1"/>
  <c r="C39" i="5"/>
  <c r="H43" i="5"/>
  <c r="I18" i="1"/>
  <c r="H18" i="1"/>
  <c r="J19" i="1" s="1"/>
  <c r="L21" i="2"/>
  <c r="L17" i="2"/>
  <c r="G21" i="2"/>
  <c r="C40" i="6" l="1"/>
  <c r="H45" i="6" s="1"/>
  <c r="C40" i="5"/>
  <c r="H44" i="5"/>
  <c r="G19" i="1"/>
  <c r="H21" i="2"/>
  <c r="J22" i="2" s="1"/>
  <c r="I21" i="2"/>
  <c r="C41" i="6" l="1"/>
  <c r="H46" i="6" s="1"/>
  <c r="H45" i="5"/>
  <c r="C41" i="5"/>
  <c r="H19" i="1"/>
  <c r="G20" i="1" s="1"/>
  <c r="I19" i="1"/>
  <c r="G22" i="2"/>
  <c r="I22" i="2" s="1"/>
  <c r="L22" i="2"/>
  <c r="L18" i="2"/>
  <c r="C42" i="6" l="1"/>
  <c r="H47" i="6" s="1"/>
  <c r="C42" i="5"/>
  <c r="H46" i="5"/>
  <c r="I20" i="1"/>
  <c r="H20" i="1"/>
  <c r="J21" i="1" s="1"/>
  <c r="J20" i="1"/>
  <c r="H22" i="2"/>
  <c r="J23" i="2" s="1"/>
  <c r="L23" i="2" s="1"/>
  <c r="C43" i="6" l="1"/>
  <c r="H48" i="6" s="1"/>
  <c r="C43" i="5"/>
  <c r="H47" i="5"/>
  <c r="H48" i="5"/>
  <c r="G21" i="1"/>
  <c r="H21" i="1" s="1"/>
  <c r="L19" i="2"/>
  <c r="G23" i="2"/>
  <c r="H23" i="2" s="1"/>
  <c r="J24" i="2" s="1"/>
  <c r="L24" i="2" s="1"/>
  <c r="C44" i="6" l="1"/>
  <c r="C44" i="5"/>
  <c r="I21" i="1"/>
  <c r="J22" i="1"/>
  <c r="G22" i="1"/>
  <c r="H22" i="1" s="1"/>
  <c r="J23" i="1" s="1"/>
  <c r="L20" i="2"/>
  <c r="G24" i="2"/>
  <c r="H24" i="2" s="1"/>
  <c r="J25" i="2" s="1"/>
  <c r="L25" i="2" s="1"/>
  <c r="I23" i="2"/>
  <c r="H49" i="6" l="1"/>
  <c r="C45" i="6"/>
  <c r="H50" i="6" s="1"/>
  <c r="C45" i="5"/>
  <c r="H50" i="5" s="1"/>
  <c r="H49" i="5"/>
  <c r="G23" i="1"/>
  <c r="H23" i="1" s="1"/>
  <c r="J24" i="1" s="1"/>
  <c r="I22" i="1"/>
  <c r="G25" i="2"/>
  <c r="H25" i="2" s="1"/>
  <c r="J26" i="2" s="1"/>
  <c r="L26" i="2" s="1"/>
  <c r="I24" i="2"/>
  <c r="I25" i="2" l="1"/>
  <c r="C46" i="6"/>
  <c r="C46" i="5"/>
  <c r="I23" i="1"/>
  <c r="G24" i="1"/>
  <c r="I24" i="1" s="1"/>
  <c r="G26" i="2"/>
  <c r="C47" i="6" l="1"/>
  <c r="H51" i="6"/>
  <c r="C47" i="5"/>
  <c r="H52" i="5"/>
  <c r="H51" i="5"/>
  <c r="H24" i="1"/>
  <c r="J25" i="1" s="1"/>
  <c r="H26" i="2"/>
  <c r="J27" i="2" s="1"/>
  <c r="L27" i="2" s="1"/>
  <c r="I26" i="2"/>
  <c r="C48" i="6" l="1"/>
  <c r="H53" i="6" s="1"/>
  <c r="H52" i="6"/>
  <c r="C48" i="5"/>
  <c r="G25" i="1"/>
  <c r="I25" i="1" s="1"/>
  <c r="G27" i="2"/>
  <c r="H27" i="2" s="1"/>
  <c r="J28" i="2" s="1"/>
  <c r="L28" i="2" s="1"/>
  <c r="C49" i="6" l="1"/>
  <c r="H53" i="5"/>
  <c r="C49" i="5"/>
  <c r="H54" i="5" s="1"/>
  <c r="H25" i="1"/>
  <c r="I27" i="2"/>
  <c r="G28" i="2"/>
  <c r="H28" i="2" s="1"/>
  <c r="J29" i="2" s="1"/>
  <c r="L29" i="2" s="1"/>
  <c r="C50" i="6" l="1"/>
  <c r="H54" i="6"/>
  <c r="C50" i="5"/>
  <c r="J26" i="1"/>
  <c r="G26" i="1"/>
  <c r="I28" i="2"/>
  <c r="G29" i="2"/>
  <c r="H29" i="2" s="1"/>
  <c r="J30" i="2" s="1"/>
  <c r="L30" i="2" s="1"/>
  <c r="C51" i="6" l="1"/>
  <c r="H56" i="6" s="1"/>
  <c r="H55" i="6"/>
  <c r="H55" i="5"/>
  <c r="C51" i="5"/>
  <c r="H26" i="1"/>
  <c r="J27" i="1" s="1"/>
  <c r="I26" i="1"/>
  <c r="I29" i="2"/>
  <c r="G30" i="2"/>
  <c r="H30" i="2" s="1"/>
  <c r="J31" i="2" s="1"/>
  <c r="L31" i="2" s="1"/>
  <c r="C52" i="6" l="1"/>
  <c r="C52" i="5"/>
  <c r="H56" i="5"/>
  <c r="G27" i="1"/>
  <c r="H27" i="1" s="1"/>
  <c r="J28" i="1" s="1"/>
  <c r="I30" i="2"/>
  <c r="G31" i="2"/>
  <c r="H31" i="2" s="1"/>
  <c r="C53" i="6" l="1"/>
  <c r="H58" i="6" s="1"/>
  <c r="H57" i="6"/>
  <c r="C53" i="5"/>
  <c r="H57" i="5"/>
  <c r="I27" i="1"/>
  <c r="G28" i="1"/>
  <c r="H28" i="1" s="1"/>
  <c r="I31" i="2"/>
  <c r="J32" i="2"/>
  <c r="L32" i="2" s="1"/>
  <c r="G32" i="2"/>
  <c r="H32" i="2" s="1"/>
  <c r="J33" i="2" s="1"/>
  <c r="L33" i="2" s="1"/>
  <c r="C54" i="6" l="1"/>
  <c r="H59" i="6" s="1"/>
  <c r="C54" i="5"/>
  <c r="H58" i="5"/>
  <c r="I28" i="1"/>
  <c r="J29" i="1"/>
  <c r="G29" i="1"/>
  <c r="H29" i="1" s="1"/>
  <c r="J30" i="1" s="1"/>
  <c r="I32" i="2"/>
  <c r="G33" i="2"/>
  <c r="H33" i="2" s="1"/>
  <c r="J34" i="2" s="1"/>
  <c r="L34" i="2" s="1"/>
  <c r="C55" i="6" l="1"/>
  <c r="C55" i="5"/>
  <c r="H59" i="5"/>
  <c r="I29" i="1"/>
  <c r="G30" i="1"/>
  <c r="H30" i="1" s="1"/>
  <c r="I33" i="2"/>
  <c r="G34" i="2"/>
  <c r="H34" i="2" s="1"/>
  <c r="J35" i="2" s="1"/>
  <c r="L35" i="2" s="1"/>
  <c r="H60" i="5" l="1"/>
  <c r="C56" i="6"/>
  <c r="H61" i="6" s="1"/>
  <c r="H60" i="6"/>
  <c r="C56" i="5"/>
  <c r="H61" i="5" s="1"/>
  <c r="I30" i="1"/>
  <c r="J31" i="1"/>
  <c r="G31" i="1"/>
  <c r="H31" i="1" s="1"/>
  <c r="G35" i="2"/>
  <c r="I35" i="2" s="1"/>
  <c r="I34" i="2"/>
  <c r="C57" i="6" l="1"/>
  <c r="H62" i="6" s="1"/>
  <c r="C57" i="5"/>
  <c r="I31" i="1"/>
  <c r="J32" i="1"/>
  <c r="G32" i="1"/>
  <c r="H32" i="1" s="1"/>
  <c r="H35" i="2"/>
  <c r="C58" i="6" l="1"/>
  <c r="C58" i="5"/>
  <c r="H63" i="5"/>
  <c r="H62" i="5"/>
  <c r="I32" i="1"/>
  <c r="J33" i="1"/>
  <c r="G33" i="1"/>
  <c r="I33" i="1" s="1"/>
  <c r="J36" i="2"/>
  <c r="L36" i="2" s="1"/>
  <c r="G36" i="2"/>
  <c r="C59" i="6" l="1"/>
  <c r="H64" i="6" s="1"/>
  <c r="H63" i="6"/>
  <c r="C59" i="5"/>
  <c r="H64" i="5" s="1"/>
  <c r="H33" i="1"/>
  <c r="G34" i="1" s="1"/>
  <c r="H36" i="2"/>
  <c r="J37" i="2" s="1"/>
  <c r="L37" i="2" s="1"/>
  <c r="I36" i="2"/>
  <c r="C60" i="6" l="1"/>
  <c r="C60" i="5"/>
  <c r="J34" i="1"/>
  <c r="I34" i="1"/>
  <c r="H34" i="1"/>
  <c r="J35" i="1" s="1"/>
  <c r="G37" i="2"/>
  <c r="H37" i="2" s="1"/>
  <c r="C61" i="6" l="1"/>
  <c r="H65" i="6"/>
  <c r="C61" i="5"/>
  <c r="H65" i="5"/>
  <c r="G35" i="1"/>
  <c r="H35" i="1" s="1"/>
  <c r="I37" i="2"/>
  <c r="J38" i="2"/>
  <c r="L38" i="2" s="1"/>
  <c r="G38" i="2"/>
  <c r="C62" i="6" l="1"/>
  <c r="H66" i="6"/>
  <c r="C62" i="5"/>
  <c r="H66" i="5"/>
  <c r="I35" i="1"/>
  <c r="J36" i="1"/>
  <c r="G36" i="1"/>
  <c r="I36" i="1" s="1"/>
  <c r="H38" i="2"/>
  <c r="J39" i="2" s="1"/>
  <c r="L39" i="2" s="1"/>
  <c r="I38" i="2"/>
  <c r="C63" i="6" l="1"/>
  <c r="H67" i="6"/>
  <c r="C63" i="5"/>
  <c r="H68" i="5" s="1"/>
  <c r="H67" i="5"/>
  <c r="H36" i="1"/>
  <c r="J37" i="1" s="1"/>
  <c r="G39" i="2"/>
  <c r="I39" i="2" s="1"/>
  <c r="C64" i="6" l="1"/>
  <c r="H68" i="6"/>
  <c r="C64" i="5"/>
  <c r="G37" i="1"/>
  <c r="H37" i="1" s="1"/>
  <c r="H39" i="2"/>
  <c r="J40" i="2" s="1"/>
  <c r="L40" i="2" s="1"/>
  <c r="C65" i="6" l="1"/>
  <c r="H69" i="6"/>
  <c r="C65" i="5"/>
  <c r="H70" i="5" s="1"/>
  <c r="H69" i="5"/>
  <c r="I37" i="1"/>
  <c r="J38" i="1"/>
  <c r="G38" i="1"/>
  <c r="I38" i="1" s="1"/>
  <c r="G40" i="2"/>
  <c r="H40" i="2" s="1"/>
  <c r="C80" i="5" l="1"/>
  <c r="C72" i="5"/>
  <c r="C77" i="5"/>
  <c r="C79" i="5"/>
  <c r="C71" i="5"/>
  <c r="C69" i="5"/>
  <c r="C78" i="5"/>
  <c r="C70" i="5"/>
  <c r="C85" i="5"/>
  <c r="C67" i="5"/>
  <c r="C83" i="5"/>
  <c r="C81" i="5"/>
  <c r="J12" i="4" s="1"/>
  <c r="C84" i="5"/>
  <c r="C76" i="5"/>
  <c r="C68" i="5"/>
  <c r="C75" i="5"/>
  <c r="C73" i="5"/>
  <c r="C82" i="5"/>
  <c r="C74" i="5"/>
  <c r="G96" i="5" a="1"/>
  <c r="G96" i="5" s="1"/>
  <c r="D4" i="4" s="1"/>
  <c r="I96" i="5" a="1"/>
  <c r="I96" i="5" s="1"/>
  <c r="F4" i="4" s="1"/>
  <c r="J96" i="5" a="1"/>
  <c r="J96" i="5" s="1"/>
  <c r="G4" i="4" s="1"/>
  <c r="I4" i="4" s="1"/>
  <c r="K96" i="5" a="1"/>
  <c r="K96" i="5" s="1"/>
  <c r="H4" i="4" s="1"/>
  <c r="H96" i="5"/>
  <c r="E4" i="4" s="1"/>
  <c r="C83" i="6"/>
  <c r="C79" i="6"/>
  <c r="C76" i="6"/>
  <c r="C68" i="6"/>
  <c r="C73" i="6"/>
  <c r="C67" i="6"/>
  <c r="C82" i="6"/>
  <c r="C78" i="6"/>
  <c r="H86" i="6" s="1"/>
  <c r="C70" i="6"/>
  <c r="C75" i="6"/>
  <c r="C85" i="6"/>
  <c r="C72" i="6"/>
  <c r="C77" i="6"/>
  <c r="C69" i="6"/>
  <c r="C71" i="6"/>
  <c r="C84" i="6"/>
  <c r="C80" i="6"/>
  <c r="C74" i="6"/>
  <c r="C66" i="6"/>
  <c r="C81" i="6"/>
  <c r="J96" i="6" a="1"/>
  <c r="J96" i="6" s="1"/>
  <c r="G5" i="4" s="1"/>
  <c r="I5" i="4" s="1"/>
  <c r="H96" i="6"/>
  <c r="E5" i="4" s="1"/>
  <c r="G96" i="6" a="1"/>
  <c r="G96" i="6" s="1"/>
  <c r="D5" i="4" s="1"/>
  <c r="K96" i="6" a="1"/>
  <c r="K96" i="6" s="1"/>
  <c r="H5" i="4" s="1"/>
  <c r="I96" i="6" a="1"/>
  <c r="I96" i="6" s="1"/>
  <c r="F5" i="4" s="1"/>
  <c r="H70" i="6"/>
  <c r="C66" i="5"/>
  <c r="H38" i="1"/>
  <c r="J39" i="1" s="1"/>
  <c r="I40" i="2"/>
  <c r="J41" i="2"/>
  <c r="L41" i="2" s="1"/>
  <c r="G41" i="2"/>
  <c r="I41" i="2" s="1"/>
  <c r="J13" i="4" l="1"/>
  <c r="K97" i="5" a="1"/>
  <c r="K97" i="5" s="1"/>
  <c r="H12" i="4" s="1"/>
  <c r="J97" i="5" a="1"/>
  <c r="J97" i="5" s="1"/>
  <c r="G12" i="4" s="1"/>
  <c r="I12" i="4" s="1"/>
  <c r="G97" i="5" a="1"/>
  <c r="G97" i="5" s="1"/>
  <c r="D12" i="4" s="1"/>
  <c r="I97" i="5" a="1"/>
  <c r="I97" i="5" s="1"/>
  <c r="F12" i="4" s="1"/>
  <c r="H97" i="5"/>
  <c r="E12" i="4" s="1"/>
  <c r="H73" i="6"/>
  <c r="H77" i="6"/>
  <c r="E69" i="6"/>
  <c r="H75" i="6"/>
  <c r="E67" i="6"/>
  <c r="H85" i="6"/>
  <c r="E77" i="6"/>
  <c r="E73" i="6"/>
  <c r="H81" i="6"/>
  <c r="E72" i="6"/>
  <c r="H80" i="6"/>
  <c r="H76" i="6"/>
  <c r="E68" i="6"/>
  <c r="H79" i="6"/>
  <c r="E71" i="6"/>
  <c r="G97" i="6" a="1"/>
  <c r="G97" i="6" s="1"/>
  <c r="D13" i="4" s="1"/>
  <c r="H74" i="6"/>
  <c r="K97" i="6" a="1"/>
  <c r="K97" i="6" s="1"/>
  <c r="H13" i="4" s="1"/>
  <c r="J97" i="6" a="1"/>
  <c r="J97" i="6" s="1"/>
  <c r="G13" i="4" s="1"/>
  <c r="I13" i="4" s="1"/>
  <c r="I97" i="6" a="1"/>
  <c r="I97" i="6" s="1"/>
  <c r="F13" i="4" s="1"/>
  <c r="E66" i="6"/>
  <c r="H97" i="6"/>
  <c r="E13" i="4" s="1"/>
  <c r="H72" i="6"/>
  <c r="H71" i="6"/>
  <c r="H82" i="6"/>
  <c r="E74" i="6"/>
  <c r="H84" i="6"/>
  <c r="E76" i="6"/>
  <c r="E75" i="6"/>
  <c r="H83" i="6"/>
  <c r="H78" i="6"/>
  <c r="E70" i="6"/>
  <c r="E66" i="5"/>
  <c r="H72" i="5"/>
  <c r="H71" i="5"/>
  <c r="G39" i="1"/>
  <c r="H39" i="1" s="1"/>
  <c r="J40" i="1" s="1"/>
  <c r="H41" i="2"/>
  <c r="J42" i="2" s="1"/>
  <c r="L42" i="2" s="1"/>
  <c r="H73" i="5" l="1"/>
  <c r="E67" i="5"/>
  <c r="I39" i="1"/>
  <c r="G40" i="1"/>
  <c r="H40" i="1" s="1"/>
  <c r="G42" i="2"/>
  <c r="I42" i="2" s="1"/>
  <c r="E68" i="5" l="1"/>
  <c r="H74" i="5"/>
  <c r="I40" i="1"/>
  <c r="J41" i="1"/>
  <c r="G41" i="1"/>
  <c r="I41" i="1" s="1"/>
  <c r="H42" i="2"/>
  <c r="J43" i="2" s="1"/>
  <c r="L43" i="2" s="1"/>
  <c r="H75" i="5" l="1"/>
  <c r="E69" i="5"/>
  <c r="H41" i="1"/>
  <c r="J42" i="1" s="1"/>
  <c r="G43" i="2"/>
  <c r="H43" i="2" s="1"/>
  <c r="J44" i="2" s="1"/>
  <c r="L44" i="2" s="1"/>
  <c r="E70" i="5" l="1"/>
  <c r="G42" i="1"/>
  <c r="H42" i="1" s="1"/>
  <c r="J43" i="1" s="1"/>
  <c r="G44" i="2"/>
  <c r="I44" i="2" s="1"/>
  <c r="I43" i="2"/>
  <c r="E71" i="5" l="1"/>
  <c r="H76" i="5"/>
  <c r="G43" i="1"/>
  <c r="H43" i="1" s="1"/>
  <c r="J44" i="1" s="1"/>
  <c r="I42" i="1"/>
  <c r="H44" i="2"/>
  <c r="J45" i="2" s="1"/>
  <c r="L45" i="2" s="1"/>
  <c r="H78" i="5" l="1"/>
  <c r="E72" i="5"/>
  <c r="H77" i="5"/>
  <c r="G44" i="1"/>
  <c r="I44" i="1" s="1"/>
  <c r="I43" i="1"/>
  <c r="G45" i="2"/>
  <c r="H45" i="2" s="1"/>
  <c r="J46" i="2" s="1"/>
  <c r="L46" i="2" s="1"/>
  <c r="E73" i="5" l="1"/>
  <c r="H79" i="5"/>
  <c r="H44" i="1"/>
  <c r="I45" i="2"/>
  <c r="G46" i="2"/>
  <c r="H80" i="5" l="1"/>
  <c r="E74" i="5"/>
  <c r="J45" i="1"/>
  <c r="G45" i="1"/>
  <c r="H46" i="2"/>
  <c r="J47" i="2" s="1"/>
  <c r="L47" i="2" s="1"/>
  <c r="I46" i="2"/>
  <c r="E75" i="5" l="1"/>
  <c r="I45" i="1"/>
  <c r="H45" i="1"/>
  <c r="J46" i="1" s="1"/>
  <c r="G47" i="2"/>
  <c r="H47" i="2" s="1"/>
  <c r="J48" i="2" s="1"/>
  <c r="L48" i="2" s="1"/>
  <c r="H82" i="5" l="1"/>
  <c r="E76" i="5"/>
  <c r="H81" i="5"/>
  <c r="G46" i="1"/>
  <c r="I47" i="2"/>
  <c r="G48" i="2"/>
  <c r="H48" i="2" s="1"/>
  <c r="E77" i="5" l="1"/>
  <c r="H83" i="5"/>
  <c r="H46" i="1"/>
  <c r="J47" i="1" s="1"/>
  <c r="I46" i="1"/>
  <c r="J49" i="2"/>
  <c r="L49" i="2" s="1"/>
  <c r="G49" i="2"/>
  <c r="H49" i="2" s="1"/>
  <c r="J50" i="2" s="1"/>
  <c r="L50" i="2" s="1"/>
  <c r="I48" i="2"/>
  <c r="I49" i="2"/>
  <c r="H84" i="5" l="1"/>
  <c r="G47" i="1"/>
  <c r="H47" i="1" s="1"/>
  <c r="G48" i="1" s="1"/>
  <c r="G50" i="2"/>
  <c r="H50" i="2" s="1"/>
  <c r="H85" i="5" l="1"/>
  <c r="H86" i="5"/>
  <c r="I47" i="1"/>
  <c r="J48" i="1"/>
  <c r="H48" i="1"/>
  <c r="J49" i="1" s="1"/>
  <c r="I48" i="1"/>
  <c r="I50" i="2"/>
  <c r="J51" i="2"/>
  <c r="L51" i="2" s="1"/>
  <c r="G51" i="2"/>
  <c r="H51" i="2" s="1"/>
  <c r="G49" i="1" l="1"/>
  <c r="I51" i="2"/>
  <c r="J52" i="2"/>
  <c r="L52" i="2" s="1"/>
  <c r="G52" i="2"/>
  <c r="H52" i="2" s="1"/>
  <c r="I49" i="1" l="1"/>
  <c r="H49" i="1"/>
  <c r="I52" i="2"/>
  <c r="G53" i="2"/>
  <c r="H53" i="2" s="1"/>
  <c r="J53" i="2"/>
  <c r="L53" i="2" s="1"/>
  <c r="J50" i="1" l="1"/>
  <c r="G50" i="1"/>
  <c r="I53" i="2"/>
  <c r="J54" i="2"/>
  <c r="L54" i="2" s="1"/>
  <c r="G54" i="2"/>
  <c r="H54" i="2" s="1"/>
  <c r="I50" i="1" l="1"/>
  <c r="H50" i="1"/>
  <c r="J51" i="1" s="1"/>
  <c r="I54" i="2"/>
  <c r="J55" i="2"/>
  <c r="L55" i="2" s="1"/>
  <c r="G55" i="2"/>
  <c r="H55" i="2" s="1"/>
  <c r="G56" i="2" s="1"/>
  <c r="G51" i="1" l="1"/>
  <c r="I55" i="2"/>
  <c r="J56" i="2"/>
  <c r="H56" i="2"/>
  <c r="G57" i="2" s="1"/>
  <c r="I56" i="2"/>
  <c r="I68" i="2" s="1"/>
  <c r="I80" i="2" s="1"/>
  <c r="L56" i="2" l="1"/>
  <c r="H51" i="1"/>
  <c r="G52" i="1" s="1"/>
  <c r="I51" i="1"/>
  <c r="J57" i="2"/>
  <c r="L57" i="2" s="1"/>
  <c r="H57" i="2"/>
  <c r="G58" i="2" s="1"/>
  <c r="I57" i="2"/>
  <c r="I69" i="2" s="1"/>
  <c r="I81" i="2" s="1"/>
  <c r="J52" i="1" l="1"/>
  <c r="H52" i="1"/>
  <c r="G53" i="1" s="1"/>
  <c r="I52" i="1"/>
  <c r="J58" i="2"/>
  <c r="I58" i="2"/>
  <c r="I70" i="2" s="1"/>
  <c r="I82" i="2" s="1"/>
  <c r="H58" i="2"/>
  <c r="J59" i="2" s="1"/>
  <c r="L59" i="2" s="1"/>
  <c r="L58" i="2" l="1"/>
  <c r="J53" i="1"/>
  <c r="H53" i="1"/>
  <c r="J54" i="1" s="1"/>
  <c r="I53" i="1"/>
  <c r="G59" i="2"/>
  <c r="H59" i="2" s="1"/>
  <c r="J60" i="2" s="1"/>
  <c r="L60" i="2" s="1"/>
  <c r="G54" i="1" l="1"/>
  <c r="H54" i="1" s="1"/>
  <c r="J55" i="1" s="1"/>
  <c r="I59" i="2"/>
  <c r="I71" i="2" s="1"/>
  <c r="I83" i="2" s="1"/>
  <c r="G60" i="2"/>
  <c r="I60" i="2" s="1"/>
  <c r="I72" i="2" s="1"/>
  <c r="I84" i="2" s="1"/>
  <c r="I54" i="1" l="1"/>
  <c r="G55" i="1"/>
  <c r="H55" i="1" s="1"/>
  <c r="J56" i="1" s="1"/>
  <c r="H60" i="2"/>
  <c r="G61" i="2" s="1"/>
  <c r="H61" i="2" s="1"/>
  <c r="G62" i="2" s="1"/>
  <c r="I55" i="1" l="1"/>
  <c r="G56" i="1"/>
  <c r="I56" i="1" s="1"/>
  <c r="I68" i="1" s="1"/>
  <c r="I80" i="1" s="1"/>
  <c r="I61" i="2"/>
  <c r="I73" i="2" s="1"/>
  <c r="I85" i="2" s="1"/>
  <c r="J61" i="2"/>
  <c r="J62" i="2"/>
  <c r="L62" i="2" s="1"/>
  <c r="H62" i="2"/>
  <c r="J63" i="2" s="1"/>
  <c r="L63" i="2" s="1"/>
  <c r="I62" i="2"/>
  <c r="I74" i="2" s="1"/>
  <c r="I86" i="2" s="1"/>
  <c r="L61" i="2" l="1"/>
  <c r="H56" i="1"/>
  <c r="G57" i="1" s="1"/>
  <c r="H57" i="1" s="1"/>
  <c r="G63" i="2"/>
  <c r="H63" i="2" s="1"/>
  <c r="J64" i="2" s="1"/>
  <c r="L64" i="2" s="1"/>
  <c r="I57" i="1" l="1"/>
  <c r="I69" i="1" s="1"/>
  <c r="I81" i="1" s="1"/>
  <c r="J57" i="1"/>
  <c r="J58" i="1"/>
  <c r="G58" i="1"/>
  <c r="I63" i="2"/>
  <c r="I75" i="2" s="1"/>
  <c r="I87" i="2" s="1"/>
  <c r="G64" i="2"/>
  <c r="H58" i="1" l="1"/>
  <c r="I58" i="1"/>
  <c r="I70" i="1" s="1"/>
  <c r="I64" i="2"/>
  <c r="I76" i="2" s="1"/>
  <c r="H64" i="2"/>
  <c r="J65" i="2" s="1"/>
  <c r="G59" i="1" l="1"/>
  <c r="J59" i="1"/>
  <c r="G65" i="2"/>
  <c r="H65" i="2" s="1"/>
  <c r="L65" i="2"/>
  <c r="H59" i="1" l="1"/>
  <c r="G60" i="1" s="1"/>
  <c r="I59" i="1"/>
  <c r="I71" i="1" s="1"/>
  <c r="I65" i="2"/>
  <c r="I77" i="2" s="1"/>
  <c r="J66" i="2"/>
  <c r="L66" i="2" s="1"/>
  <c r="G66" i="2"/>
  <c r="H66" i="2" s="1"/>
  <c r="J60" i="1" l="1"/>
  <c r="H60" i="1"/>
  <c r="G61" i="1" s="1"/>
  <c r="I60" i="1"/>
  <c r="I72" i="1" s="1"/>
  <c r="I66" i="2"/>
  <c r="I78" i="2" s="1"/>
  <c r="J67" i="2"/>
  <c r="G67" i="2"/>
  <c r="J96" i="2"/>
  <c r="E6" i="4" s="1"/>
  <c r="M96" i="2" a="1"/>
  <c r="M96" i="2" s="1"/>
  <c r="G6" i="4" s="1"/>
  <c r="I6" i="4" s="1"/>
  <c r="H67" i="2" l="1"/>
  <c r="J80" i="2" s="1"/>
  <c r="J81" i="2"/>
  <c r="J82" i="2"/>
  <c r="J84" i="2"/>
  <c r="J83" i="2"/>
  <c r="J86" i="2"/>
  <c r="J85" i="2"/>
  <c r="J87" i="2"/>
  <c r="L67" i="2"/>
  <c r="N96" i="2" a="1"/>
  <c r="N96" i="2" s="1"/>
  <c r="H6" i="4" s="1"/>
  <c r="L96" i="2" a="1"/>
  <c r="L96" i="2" s="1"/>
  <c r="F6" i="4" s="1"/>
  <c r="I96" i="2" a="1"/>
  <c r="I96" i="2" s="1"/>
  <c r="D6" i="4" s="1"/>
  <c r="J61" i="1"/>
  <c r="H61" i="1"/>
  <c r="J62" i="1" s="1"/>
  <c r="I61" i="1"/>
  <c r="I73" i="1" s="1"/>
  <c r="J76" i="2"/>
  <c r="J72" i="2"/>
  <c r="J73" i="2"/>
  <c r="J71" i="2"/>
  <c r="L71" i="2" s="1"/>
  <c r="J75" i="2"/>
  <c r="J69" i="2"/>
  <c r="L69" i="2" s="1"/>
  <c r="J74" i="2"/>
  <c r="J70" i="2"/>
  <c r="L70" i="2" s="1"/>
  <c r="J77" i="2"/>
  <c r="J78" i="2"/>
  <c r="I67" i="2"/>
  <c r="I79" i="2" s="1"/>
  <c r="J79" i="2" s="1"/>
  <c r="J68" i="2"/>
  <c r="L72" i="2"/>
  <c r="J14" i="4" l="1"/>
  <c r="N97" i="2" a="1"/>
  <c r="N97" i="2" s="1"/>
  <c r="H14" i="4" s="1"/>
  <c r="G62" i="1"/>
  <c r="I62" i="1" s="1"/>
  <c r="I74" i="1" s="1"/>
  <c r="I97" i="2" a="1"/>
  <c r="I97" i="2" s="1"/>
  <c r="D14" i="4" s="1"/>
  <c r="L97" i="2" a="1"/>
  <c r="L97" i="2" s="1"/>
  <c r="F14" i="4" s="1"/>
  <c r="M97" i="2" a="1"/>
  <c r="M97" i="2" s="1"/>
  <c r="G14" i="4" s="1"/>
  <c r="I14" i="4" s="1"/>
  <c r="J97" i="2"/>
  <c r="E14" i="4" s="1"/>
  <c r="L68" i="2"/>
  <c r="H62" i="1" l="1"/>
  <c r="G63" i="1" s="1"/>
  <c r="H63" i="1" s="1"/>
  <c r="L73" i="2"/>
  <c r="I63" i="1" l="1"/>
  <c r="I75" i="1" s="1"/>
  <c r="J64" i="1"/>
  <c r="G64" i="1"/>
  <c r="H64" i="1" s="1"/>
  <c r="J63" i="1"/>
  <c r="L74" i="2"/>
  <c r="I64" i="1" l="1"/>
  <c r="I76" i="1" s="1"/>
  <c r="J65" i="1"/>
  <c r="G65" i="1"/>
  <c r="L75" i="2"/>
  <c r="I65" i="1" l="1"/>
  <c r="I77" i="1" s="1"/>
  <c r="H65" i="1"/>
  <c r="L76" i="2"/>
  <c r="J66" i="1" l="1"/>
  <c r="G66" i="1"/>
  <c r="L77" i="2"/>
  <c r="H66" i="1" l="1"/>
  <c r="J67" i="1" s="1"/>
  <c r="K94" i="1" s="1" a="1"/>
  <c r="K94" i="1" s="1"/>
  <c r="I66" i="1"/>
  <c r="I78" i="1" s="1"/>
  <c r="M94" i="1" a="1"/>
  <c r="M94" i="1" s="1"/>
  <c r="L94" i="1" a="1"/>
  <c r="L94" i="1" s="1"/>
  <c r="I94" i="1" a="1"/>
  <c r="I94" i="1" s="1"/>
  <c r="L78" i="2"/>
  <c r="J94" i="1" l="1"/>
  <c r="G67" i="1"/>
  <c r="H67" i="1" s="1"/>
  <c r="L79" i="2"/>
  <c r="I67" i="1" l="1"/>
  <c r="I79" i="1" s="1"/>
  <c r="J75" i="1"/>
  <c r="J73" i="1"/>
  <c r="J68" i="1"/>
  <c r="J80" i="1"/>
  <c r="J81" i="1"/>
  <c r="J74" i="1"/>
  <c r="J70" i="1"/>
  <c r="J71" i="1"/>
  <c r="J79" i="1"/>
  <c r="J78" i="1"/>
  <c r="J76" i="1"/>
  <c r="J72" i="1"/>
  <c r="J77" i="1"/>
  <c r="J69" i="1"/>
  <c r="K93" i="1" l="1" a="1"/>
  <c r="K93" i="1" s="1"/>
  <c r="L93" i="1" a="1"/>
  <c r="L93" i="1" s="1"/>
  <c r="M93" i="1" a="1"/>
  <c r="M93" i="1" s="1"/>
  <c r="I93" i="1" a="1"/>
  <c r="I93" i="1" s="1"/>
  <c r="J9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MUHAMAD FERI FADLI</author>
    <author>tc={FD36F415-3954-45B4-BA1D-50169803A575}</author>
  </authors>
  <commentList>
    <comment ref="B1" authorId="0" shapeId="0" xr:uid="{43025781-AA2B-46A7-9BED-4E91D8C91B0A}">
      <text>
        <r>
          <rPr>
            <sz val="9"/>
            <color indexed="81"/>
            <rFont val="Tahoma"/>
            <family val="2"/>
          </rPr>
          <t>-Ini dari kolom current use
-setiap weekly diupdate</t>
        </r>
      </text>
    </comment>
    <comment ref="B64" authorId="1" shapeId="0" xr:uid="{FD36F415-3954-45B4-BA1D-50169803A575}">
      <text>
        <t>[Threaded comment]
Your version of Excel allows you to read this threaded comment; however, any edits to it will get removed if the file is opened in a newer version of Excel. Learn more: https://go.microsoft.com/fwlink/?linkid=870924
Comment:
    Penjumlahan dari tgl 1 - tgl terakhir di file excel update card stock for dashboard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MUHAMAD FERI FADLI</author>
    <author>tc={6E939260-E4D5-4EEE-A25C-5690BAB303C6}</author>
  </authors>
  <commentList>
    <comment ref="B1" authorId="0" shapeId="0" xr:uid="{25E614DF-B33D-4D43-A3D7-C5E6E9DC8046}">
      <text>
        <r>
          <rPr>
            <sz val="9"/>
            <color indexed="81"/>
            <rFont val="Tahoma"/>
            <family val="2"/>
          </rPr>
          <t>-Ini dari kolom current use
-setiap weekly diupdate</t>
        </r>
      </text>
    </comment>
    <comment ref="B64" authorId="1" shapeId="0" xr:uid="{6E939260-E4D5-4EEE-A25C-5690BAB303C6}">
      <text>
        <t>[Threaded comment]
Your version of Excel allows you to read this threaded comment; however, any edits to it will get removed if the file is opened in a newer version of Excel. Learn more: https://go.microsoft.com/fwlink/?linkid=870924
Comment:
    Penjumlahan dari tgl 1 - tgl terakhir di file excel update card stock for dashboard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tc={A1B4B7CA-1A0D-4A41-AEF8-F49D61AA692E}</author>
    <author>tc={33B3F704-5172-45F7-8F45-69017C0B2F75}</author>
  </authors>
  <commentList>
    <comment ref="K11" authorId="0" shapeId="0" xr:uid="{A1B4B7CA-1A0D-4A41-AEF8-F49D61AA692E}">
      <text>
        <t>[Threaded comment]
Your version of Excel allows you to read this threaded comment; however, any edits to it will get removed if the file is opened in a newer version of Excel. Learn more: https://go.microsoft.com/fwlink/?linkid=870924
Comment:
    22Aug-10Dec</t>
      </text>
    </comment>
    <comment ref="I22" authorId="1" shapeId="0" xr:uid="{33B3F704-5172-45F7-8F45-69017C0B2F75}">
      <text>
        <t>[Threaded comment]
Your version of Excel allows you to read this threaded comment; however, any edits to it will get removed if the file is opened in a newer version of Excel. Learn more: https://go.microsoft.com/fwlink/?linkid=870924
Comment:
    22Aug-10Dec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<sst xmlns="http://schemas.openxmlformats.org/spreadsheetml/2006/main" count="142" uniqueCount="71">
  <si>
    <t>Holt-Winters (Real Statistics)</t>
  </si>
  <si>
    <t>Holt-Winter Multiplicative</t>
  </si>
  <si>
    <t>t</t>
  </si>
  <si>
    <t>qtr</t>
  </si>
  <si>
    <t>y</t>
  </si>
  <si>
    <t>actual</t>
  </si>
  <si>
    <t>u</t>
  </si>
  <si>
    <t>v</t>
  </si>
  <si>
    <t>s</t>
  </si>
  <si>
    <t>forecast</t>
  </si>
  <si>
    <t>alpha</t>
  </si>
  <si>
    <t>beta</t>
  </si>
  <si>
    <t>gamma</t>
  </si>
  <si>
    <t>MAE</t>
  </si>
  <si>
    <t>MAPE</t>
  </si>
  <si>
    <t>Net Error</t>
  </si>
  <si>
    <t>Min Error</t>
  </si>
  <si>
    <t>Holt-Winter Additive</t>
  </si>
  <si>
    <t>RMSE</t>
  </si>
  <si>
    <t>Train</t>
  </si>
  <si>
    <t>Test</t>
  </si>
  <si>
    <t>Periode</t>
  </si>
  <si>
    <t>PERIODE2</t>
  </si>
  <si>
    <t>Forecast_4Month</t>
  </si>
  <si>
    <t>31/04/2024</t>
  </si>
  <si>
    <t>Train (May22-Apr23)</t>
  </si>
  <si>
    <t>Min Error (Max UnderPredict)</t>
  </si>
  <si>
    <t>Notes</t>
  </si>
  <si>
    <t>SES</t>
  </si>
  <si>
    <t>HWES + Opt</t>
  </si>
  <si>
    <t>HWES x Opt</t>
  </si>
  <si>
    <t>Test (May23-Apr24)</t>
  </si>
  <si>
    <t>SES Opt</t>
  </si>
  <si>
    <t>ARIMA</t>
  </si>
  <si>
    <t>Aug_Dec Prediction</t>
  </si>
  <si>
    <t>Date</t>
  </si>
  <si>
    <t>one_third</t>
  </si>
  <si>
    <t>Row Labels</t>
  </si>
  <si>
    <t>Grand Total</t>
  </si>
  <si>
    <t>Sum of Aug-23</t>
  </si>
  <si>
    <t>Sum of Sep-23</t>
  </si>
  <si>
    <t>Sum of Oct-23</t>
  </si>
  <si>
    <t>Sum of Nov-23</t>
  </si>
  <si>
    <t>Sum of Dec-23</t>
  </si>
  <si>
    <t>Sum of Jan-24</t>
  </si>
  <si>
    <t>Sum of Feb-24</t>
  </si>
  <si>
    <t>Sum of Mar-24</t>
  </si>
  <si>
    <t>Sum of Apr-24</t>
  </si>
  <si>
    <t>Average</t>
  </si>
  <si>
    <t>forecast_1_3</t>
  </si>
  <si>
    <t>Exact_Prediction</t>
  </si>
  <si>
    <t>Name</t>
  </si>
  <si>
    <t>Method</t>
  </si>
  <si>
    <t>A</t>
  </si>
  <si>
    <t>B</t>
  </si>
  <si>
    <t>C</t>
  </si>
  <si>
    <t>Holt Winters Exponential Smoothing (Additive)</t>
  </si>
  <si>
    <t>Holt Winters Exponential Smoothing (Multiplicative)</t>
  </si>
  <si>
    <t>Autoregressive Integrated Moving Average</t>
  </si>
  <si>
    <t>1 (1-11)</t>
  </si>
  <si>
    <t>2 (12-21)</t>
  </si>
  <si>
    <t>3 (22-31)</t>
  </si>
  <si>
    <t>New Design</t>
  </si>
  <si>
    <t>4 Dec hrs pake design baru</t>
  </si>
  <si>
    <t>sampai 30 Jun 2024</t>
  </si>
  <si>
    <t>Actual</t>
  </si>
  <si>
    <t>Forecast</t>
  </si>
  <si>
    <t>Error</t>
  </si>
  <si>
    <t>Abs Error</t>
  </si>
  <si>
    <t>Jun24 - 4Dec24</t>
  </si>
  <si>
    <t>Jun24_Nov24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</si>
</sst>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-* #,##0_-;\-* #,##0_-;_-* &quot;-&quot;_-;_-@_-"/>
    <numFmt numFmtId="43" formatCode="_-* #,##0.00_-;\-* #,##0.00_-;_-* &quot;-&quot;??_-;_-@_-"/>
    <numFmt numFmtId="164" formatCode="_-* #,##0.000_-;\-* #,##0.000_-;_-* &quot;-&quot;_-;_-@_-"/>
    <numFmt numFmtId="165" formatCode="_-* #,##0_-;\-* #,##0_-;_-* &quot;-&quot;??_-;_-@_-"/>
    <numFmt numFmtId="166" formatCode="_(* #,##0.00_);_(* \(#,##0.00\);_(* &quot;-&quot;??_);_(@_)"/>
    <numFmt numFmtId="167" formatCode="_(* #,##0_);_(* \(#,##0\);_(* &quot;-&quot;??_);_(@_)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i/>
      <sz val="11"/>
      <color theme="1"/>
      <name val="Aptos Narrow"/>
      <family val="2"/>
      <scheme val="minor"/>
    </font>
    <font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88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41" fontId="0" fillId="0" borderId="0" xfId="1" applyFont="1" applyAlignment="1">
      <alignment horizontal="center"/>
    </xf>
    <xf numFmtId="0" fontId="0" fillId="2" borderId="0" xfId="0" applyFill="1"/>
    <xf numFmtId="41" fontId="0" fillId="0" borderId="0" xfId="1" applyFont="1" applyBorder="1"/>
    <xf numFmtId="41" fontId="0" fillId="0" borderId="3" xfId="1" applyFont="1" applyBorder="1" applyAlignment="1">
      <alignment horizontal="center"/>
    </xf>
    <xf numFmtId="41" fontId="0" fillId="0" borderId="0" xfId="1" applyFont="1" applyBorder="1" applyAlignment="1">
      <alignment horizontal="center"/>
    </xf>
    <xf numFmtId="41" fontId="0" fillId="0" borderId="0" xfId="0" applyNumberFormat="1"/>
    <xf numFmtId="0" fontId="0" fillId="0" borderId="3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14" fontId="0" fillId="0" borderId="7" xfId="0" applyNumberFormat="1" applyBorder="1"/>
    <xf numFmtId="0" fontId="0" fillId="0" borderId="7" xfId="0" applyBorder="1"/>
    <xf numFmtId="41" fontId="0" fillId="0" borderId="7" xfId="1" applyFont="1" applyBorder="1"/>
    <xf numFmtId="0" fontId="0" fillId="3" borderId="0" xfId="0" applyFill="1"/>
    <xf numFmtId="164" fontId="0" fillId="3" borderId="0" xfId="1" applyNumberFormat="1" applyFont="1" applyFill="1"/>
    <xf numFmtId="43" fontId="0" fillId="4" borderId="0" xfId="0" applyNumberFormat="1" applyFill="1"/>
    <xf numFmtId="0" fontId="0" fillId="4" borderId="0" xfId="0" applyFill="1"/>
    <xf numFmtId="41" fontId="0" fillId="0" borderId="0" xfId="1" applyFont="1"/>
    <xf numFmtId="43" fontId="0" fillId="0" borderId="0" xfId="0" applyNumberFormat="1"/>
    <xf numFmtId="43" fontId="0" fillId="0" borderId="3" xfId="0" applyNumberFormat="1" applyBorder="1"/>
    <xf numFmtId="0" fontId="0" fillId="0" borderId="3" xfId="0" applyBorder="1"/>
    <xf numFmtId="41" fontId="0" fillId="0" borderId="7" xfId="1" applyFont="1" applyBorder="1" applyAlignment="1">
      <alignment horizontal="center"/>
    </xf>
    <xf numFmtId="43" fontId="0" fillId="0" borderId="7" xfId="0" applyNumberFormat="1" applyBorder="1"/>
    <xf numFmtId="41" fontId="0" fillId="0" borderId="0" xfId="1" applyFont="1" applyFill="1" applyBorder="1"/>
    <xf numFmtId="10" fontId="0" fillId="0" borderId="0" xfId="2" applyNumberFormat="1" applyFont="1"/>
    <xf numFmtId="43" fontId="0" fillId="0" borderId="5" xfId="0" applyNumberFormat="1" applyBorder="1"/>
    <xf numFmtId="10" fontId="0" fillId="0" borderId="0" xfId="2" applyNumberFormat="1" applyFont="1" applyFill="1"/>
    <xf numFmtId="41" fontId="0" fillId="0" borderId="0" xfId="1" applyFont="1" applyFill="1"/>
    <xf numFmtId="41" fontId="0" fillId="0" borderId="4" xfId="1" applyFont="1" applyFill="1" applyBorder="1"/>
    <xf numFmtId="41" fontId="0" fillId="0" borderId="5" xfId="1" applyFont="1" applyFill="1" applyBorder="1"/>
    <xf numFmtId="10" fontId="0" fillId="0" borderId="6" xfId="2" applyNumberFormat="1" applyFont="1" applyFill="1" applyBorder="1"/>
    <xf numFmtId="165" fontId="0" fillId="0" borderId="0" xfId="0" applyNumberFormat="1"/>
    <xf numFmtId="0" fontId="0" fillId="5" borderId="0" xfId="0" applyFill="1"/>
    <xf numFmtId="167" fontId="0" fillId="0" borderId="0" xfId="3" applyNumberFormat="1" applyFont="1"/>
    <xf numFmtId="167" fontId="0" fillId="0" borderId="0" xfId="0" applyNumberFormat="1"/>
    <xf numFmtId="3" fontId="0" fillId="0" borderId="0" xfId="0" applyNumberFormat="1"/>
    <xf numFmtId="167" fontId="0" fillId="0" borderId="7" xfId="3" applyNumberFormat="1" applyFont="1" applyBorder="1"/>
    <xf numFmtId="0" fontId="0" fillId="6" borderId="0" xfId="0" applyFill="1"/>
    <xf numFmtId="0" fontId="5" fillId="0" borderId="0" xfId="0" applyFont="1" applyAlignment="1">
      <alignment horizontal="center"/>
    </xf>
    <xf numFmtId="15" fontId="0" fillId="0" borderId="0" xfId="0" applyNumberFormat="1"/>
    <xf numFmtId="17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quotePrefix="1"/>
    <xf numFmtId="10" fontId="0" fillId="4" borderId="0" xfId="0" applyNumberFormat="1" applyFill="1"/>
    <xf numFmtId="17" fontId="2" fillId="0" borderId="0" xfId="0" applyNumberFormat="1" applyFont="1"/>
    <xf numFmtId="0" fontId="2" fillId="4" borderId="0" xfId="0" applyFont="1" applyFill="1"/>
    <xf numFmtId="0" fontId="0" fillId="0" borderId="9" xfId="0" applyBorder="1"/>
    <xf numFmtId="10" fontId="0" fillId="0" borderId="0" xfId="2" applyNumberFormat="1" applyFont="1" applyFill="1" applyBorder="1"/>
    <xf numFmtId="0" fontId="0" fillId="7" borderId="10" xfId="0" applyFill="1" applyBorder="1"/>
    <xf numFmtId="0" fontId="0" fillId="4" borderId="10" xfId="0" applyFill="1" applyBorder="1"/>
    <xf numFmtId="0" fontId="0" fillId="0" borderId="11" xfId="0" applyBorder="1"/>
    <xf numFmtId="41" fontId="0" fillId="0" borderId="3" xfId="1" applyFont="1" applyBorder="1"/>
    <xf numFmtId="10" fontId="0" fillId="0" borderId="3" xfId="2" applyNumberFormat="1" applyFont="1" applyBorder="1"/>
    <xf numFmtId="0" fontId="0" fillId="4" borderId="12" xfId="0" applyFill="1" applyBorder="1"/>
    <xf numFmtId="0" fontId="2" fillId="0" borderId="13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14" xfId="0" applyFont="1" applyBorder="1" applyAlignment="1">
      <alignment horizontal="center"/>
    </xf>
    <xf numFmtId="0" fontId="0" fillId="7" borderId="0" xfId="0" applyFill="1" applyBorder="1"/>
    <xf numFmtId="41" fontId="0" fillId="0" borderId="10" xfId="0" applyNumberFormat="1" applyBorder="1"/>
    <xf numFmtId="41" fontId="0" fillId="0" borderId="10" xfId="1" applyFont="1" applyBorder="1"/>
    <xf numFmtId="0" fontId="0" fillId="4" borderId="0" xfId="0" applyFill="1" applyBorder="1"/>
    <xf numFmtId="41" fontId="0" fillId="0" borderId="0" xfId="0" applyNumberFormat="1" applyBorder="1"/>
    <xf numFmtId="0" fontId="0" fillId="4" borderId="3" xfId="0" applyFill="1" applyBorder="1"/>
    <xf numFmtId="41" fontId="0" fillId="0" borderId="12" xfId="1" applyFont="1" applyBorder="1"/>
    <xf numFmtId="10" fontId="5" fillId="0" borderId="1" xfId="2" applyNumberFormat="1" applyFont="1" applyBorder="1" applyAlignment="1">
      <alignment horizontal="center"/>
    </xf>
    <xf numFmtId="9" fontId="0" fillId="0" borderId="0" xfId="2" applyFont="1"/>
    <xf numFmtId="0" fontId="0" fillId="0" borderId="8" xfId="0" applyBorder="1"/>
    <xf numFmtId="0" fontId="0" fillId="0" borderId="8" xfId="0" applyBorder="1" applyAlignment="1">
      <alignment wrapText="1"/>
    </xf>
    <xf numFmtId="41" fontId="0" fillId="0" borderId="8" xfId="0" applyNumberFormat="1" applyBorder="1"/>
    <xf numFmtId="10" fontId="0" fillId="0" borderId="8" xfId="0" applyNumberFormat="1" applyBorder="1"/>
    <xf numFmtId="0" fontId="0" fillId="0" borderId="3" xfId="0" applyBorder="1" applyAlignment="1">
      <alignment wrapText="1"/>
    </xf>
    <xf numFmtId="41" fontId="0" fillId="0" borderId="3" xfId="0" applyNumberFormat="1" applyBorder="1"/>
    <xf numFmtId="10" fontId="0" fillId="0" borderId="3" xfId="0" applyNumberFormat="1" applyBorder="1"/>
    <xf numFmtId="0" fontId="0" fillId="0" borderId="15" xfId="0" applyBorder="1"/>
    <xf numFmtId="0" fontId="0" fillId="0" borderId="15" xfId="0" applyBorder="1" applyAlignment="1">
      <alignment wrapText="1"/>
    </xf>
    <xf numFmtId="41" fontId="0" fillId="0" borderId="15" xfId="0" applyNumberFormat="1" applyBorder="1"/>
    <xf numFmtId="10" fontId="0" fillId="0" borderId="15" xfId="0" applyNumberFormat="1" applyBorder="1"/>
    <xf numFmtId="0" fontId="0" fillId="4" borderId="8" xfId="0" applyFill="1" applyBorder="1"/>
    <xf numFmtId="0" fontId="0" fillId="7" borderId="15" xfId="0" applyFill="1" applyBorder="1"/>
  </cellXfs>
  <cellStyles count="4">
    <cellStyle name="Comma [0]" xfId="1" builtinId="6"/>
    <cellStyle name="Comma 2" xfId="3" xr:uid="{56B9B427-7D85-40F3-97F6-E943788FB5B6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microsoft.com/office/2017/10/relationships/person" Target="persons/person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D"/>
              <a:t>SES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 Smoothing - Orange'!$B$1</c:f>
              <c:strCache>
                <c:ptCount val="1"/>
                <c:pt idx="0">
                  <c:v>actual</c:v>
                </c:pt>
              </c:strCache>
            </c:strRef>
          </c:tx>
          <c:marker>
            <c:symbol val="none"/>
          </c:marker>
          <c:cat>
            <c:numRef>
              <c:f>'Exp Smoothing - Orange'!$A$54:$A$85</c:f>
              <c:numCache>
                <c:formatCode>m/d/yyyy</c:formatCode>
                <c:ptCount val="32"/>
                <c:pt idx="0">
                  <c:v>44712</c:v>
                </c:pt>
                <c:pt idx="1">
                  <c:v>44742</c:v>
                </c:pt>
                <c:pt idx="2">
                  <c:v>44773</c:v>
                </c:pt>
                <c:pt idx="3">
                  <c:v>44804</c:v>
                </c:pt>
                <c:pt idx="4">
                  <c:v>44834</c:v>
                </c:pt>
                <c:pt idx="5">
                  <c:v>44865</c:v>
                </c:pt>
                <c:pt idx="6">
                  <c:v>44895</c:v>
                </c:pt>
                <c:pt idx="7">
                  <c:v>44926</c:v>
                </c:pt>
                <c:pt idx="8">
                  <c:v>44957</c:v>
                </c:pt>
                <c:pt idx="9">
                  <c:v>44985</c:v>
                </c:pt>
                <c:pt idx="10">
                  <c:v>45016</c:v>
                </c:pt>
                <c:pt idx="11">
                  <c:v>45046</c:v>
                </c:pt>
                <c:pt idx="12">
                  <c:v>45077</c:v>
                </c:pt>
                <c:pt idx="13">
                  <c:v>45107</c:v>
                </c:pt>
                <c:pt idx="14">
                  <c:v>45138</c:v>
                </c:pt>
                <c:pt idx="15">
                  <c:v>45169</c:v>
                </c:pt>
                <c:pt idx="16">
                  <c:v>45199</c:v>
                </c:pt>
                <c:pt idx="17">
                  <c:v>45230</c:v>
                </c:pt>
                <c:pt idx="18">
                  <c:v>45260</c:v>
                </c:pt>
                <c:pt idx="19">
                  <c:v>45291</c:v>
                </c:pt>
                <c:pt idx="20">
                  <c:v>45322</c:v>
                </c:pt>
                <c:pt idx="21">
                  <c:v>45351</c:v>
                </c:pt>
                <c:pt idx="22">
                  <c:v>45382</c:v>
                </c:pt>
                <c:pt idx="23">
                  <c:v>45412</c:v>
                </c:pt>
                <c:pt idx="24">
                  <c:v>45443</c:v>
                </c:pt>
                <c:pt idx="25">
                  <c:v>45473</c:v>
                </c:pt>
                <c:pt idx="26">
                  <c:v>45504</c:v>
                </c:pt>
                <c:pt idx="27">
                  <c:v>45535</c:v>
                </c:pt>
                <c:pt idx="28">
                  <c:v>45565</c:v>
                </c:pt>
                <c:pt idx="29">
                  <c:v>45596</c:v>
                </c:pt>
                <c:pt idx="30">
                  <c:v>45626</c:v>
                </c:pt>
                <c:pt idx="31">
                  <c:v>45657</c:v>
                </c:pt>
              </c:numCache>
            </c:numRef>
          </c:cat>
          <c:val>
            <c:numRef>
              <c:f>'Exp Smoothing - Orange'!$B$54:$B$77</c:f>
              <c:numCache>
                <c:formatCode>_(* #,##0_);_(* \(#,##0\);_(* "-"??_);_(@_)</c:formatCode>
                <c:ptCount val="24"/>
                <c:pt idx="0" formatCode="#,##0">
                  <c:v>49191</c:v>
                </c:pt>
                <c:pt idx="1">
                  <c:v>32408</c:v>
                </c:pt>
                <c:pt idx="2">
                  <c:v>28554</c:v>
                </c:pt>
                <c:pt idx="3">
                  <c:v>44473</c:v>
                </c:pt>
                <c:pt idx="4">
                  <c:v>42148</c:v>
                </c:pt>
                <c:pt idx="5">
                  <c:v>40341</c:v>
                </c:pt>
                <c:pt idx="6">
                  <c:v>41282</c:v>
                </c:pt>
                <c:pt idx="7">
                  <c:v>40045</c:v>
                </c:pt>
                <c:pt idx="8">
                  <c:v>30805</c:v>
                </c:pt>
                <c:pt idx="9">
                  <c:v>36904</c:v>
                </c:pt>
                <c:pt idx="10">
                  <c:v>47258</c:v>
                </c:pt>
                <c:pt idx="11">
                  <c:v>33977</c:v>
                </c:pt>
                <c:pt idx="12">
                  <c:v>51732</c:v>
                </c:pt>
                <c:pt idx="13">
                  <c:v>42493</c:v>
                </c:pt>
                <c:pt idx="14">
                  <c:v>33368</c:v>
                </c:pt>
                <c:pt idx="15">
                  <c:v>52612</c:v>
                </c:pt>
                <c:pt idx="16">
                  <c:v>52467</c:v>
                </c:pt>
                <c:pt idx="17">
                  <c:v>42235</c:v>
                </c:pt>
                <c:pt idx="18">
                  <c:v>59404</c:v>
                </c:pt>
                <c:pt idx="19">
                  <c:v>52434</c:v>
                </c:pt>
                <c:pt idx="20">
                  <c:v>52855</c:v>
                </c:pt>
                <c:pt idx="21">
                  <c:v>45697</c:v>
                </c:pt>
                <c:pt idx="22" formatCode="_(* #,##0_);_(* \(#,##0\);_(* &quot;-&quot;_);_(@_)">
                  <c:v>42815</c:v>
                </c:pt>
                <c:pt idx="23" formatCode="_(* #,##0_);_(* \(#,##0\);_(* &quot;-&quot;_);_(@_)">
                  <c:v>35800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3F-43E9-88BB-35141AFE9179}"/>
            </c:ext>
          </c:extLst>
        </c:ser>
        <c:ser>
          <c:idx val="1"/>
          <c:order val="1"/>
          <c:tx>
            <c:strRef>
              <c:f>'Exp Smoothing - Orange'!$C$1</c:f>
              <c:strCache>
                <c:ptCount val="1"/>
                <c:pt idx="0">
                  <c:v>forecast</c:v>
                </c:pt>
              </c:strCache>
            </c:strRef>
          </c:tx>
          <c:marker>
            <c:symbol val="none"/>
          </c:marker>
          <c:cat>
            <c:numRef>
              <c:f>'Exp Smoothing - Orange'!$A$54:$A$85</c:f>
              <c:numCache>
                <c:formatCode>m/d/yyyy</c:formatCode>
                <c:ptCount val="32"/>
                <c:pt idx="0">
                  <c:v>44712</c:v>
                </c:pt>
                <c:pt idx="1">
                  <c:v>44742</c:v>
                </c:pt>
                <c:pt idx="2">
                  <c:v>44773</c:v>
                </c:pt>
                <c:pt idx="3">
                  <c:v>44804</c:v>
                </c:pt>
                <c:pt idx="4">
                  <c:v>44834</c:v>
                </c:pt>
                <c:pt idx="5">
                  <c:v>44865</c:v>
                </c:pt>
                <c:pt idx="6">
                  <c:v>44895</c:v>
                </c:pt>
                <c:pt idx="7">
                  <c:v>44926</c:v>
                </c:pt>
                <c:pt idx="8">
                  <c:v>44957</c:v>
                </c:pt>
                <c:pt idx="9">
                  <c:v>44985</c:v>
                </c:pt>
                <c:pt idx="10">
                  <c:v>45016</c:v>
                </c:pt>
                <c:pt idx="11">
                  <c:v>45046</c:v>
                </c:pt>
                <c:pt idx="12">
                  <c:v>45077</c:v>
                </c:pt>
                <c:pt idx="13">
                  <c:v>45107</c:v>
                </c:pt>
                <c:pt idx="14">
                  <c:v>45138</c:v>
                </c:pt>
                <c:pt idx="15">
                  <c:v>45169</c:v>
                </c:pt>
                <c:pt idx="16">
                  <c:v>45199</c:v>
                </c:pt>
                <c:pt idx="17">
                  <c:v>45230</c:v>
                </c:pt>
                <c:pt idx="18">
                  <c:v>45260</c:v>
                </c:pt>
                <c:pt idx="19">
                  <c:v>45291</c:v>
                </c:pt>
                <c:pt idx="20">
                  <c:v>45322</c:v>
                </c:pt>
                <c:pt idx="21">
                  <c:v>45351</c:v>
                </c:pt>
                <c:pt idx="22">
                  <c:v>45382</c:v>
                </c:pt>
                <c:pt idx="23">
                  <c:v>45412</c:v>
                </c:pt>
                <c:pt idx="24">
                  <c:v>45443</c:v>
                </c:pt>
                <c:pt idx="25">
                  <c:v>45473</c:v>
                </c:pt>
                <c:pt idx="26">
                  <c:v>45504</c:v>
                </c:pt>
                <c:pt idx="27">
                  <c:v>45535</c:v>
                </c:pt>
                <c:pt idx="28">
                  <c:v>45565</c:v>
                </c:pt>
                <c:pt idx="29">
                  <c:v>45596</c:v>
                </c:pt>
                <c:pt idx="30">
                  <c:v>45626</c:v>
                </c:pt>
                <c:pt idx="31">
                  <c:v>45657</c:v>
                </c:pt>
              </c:numCache>
            </c:numRef>
          </c:cat>
          <c:val>
            <c:numRef>
              <c:f>'Exp Smoothing - Orange'!$C$54:$C$85</c:f>
              <c:numCache>
                <c:formatCode>_(* #,##0_);_(* \(#,##0\);_(* "-"??_);_(@_)</c:formatCode>
                <c:ptCount val="32"/>
                <c:pt idx="0">
                  <c:v>27387.460417046455</c:v>
                </c:pt>
                <c:pt idx="1">
                  <c:v>42649.938125113935</c:v>
                </c:pt>
                <c:pt idx="2">
                  <c:v>35480.58143753418</c:v>
                </c:pt>
                <c:pt idx="3">
                  <c:v>30631.974431260256</c:v>
                </c:pt>
                <c:pt idx="4">
                  <c:v>40320.692329378078</c:v>
                </c:pt>
                <c:pt idx="5">
                  <c:v>41599.807698813427</c:v>
                </c:pt>
                <c:pt idx="6">
                  <c:v>40718.642309644027</c:v>
                </c:pt>
                <c:pt idx="7">
                  <c:v>41112.992692893211</c:v>
                </c:pt>
                <c:pt idx="8">
                  <c:v>40365.397807867965</c:v>
                </c:pt>
                <c:pt idx="9">
                  <c:v>33673.119342360391</c:v>
                </c:pt>
                <c:pt idx="10">
                  <c:v>35934.735802708121</c:v>
                </c:pt>
                <c:pt idx="11">
                  <c:v>43861.020740812441</c:v>
                </c:pt>
                <c:pt idx="12">
                  <c:v>36942.206222243731</c:v>
                </c:pt>
                <c:pt idx="13">
                  <c:v>36942.206222243731</c:v>
                </c:pt>
                <c:pt idx="14">
                  <c:v>36942.206222243731</c:v>
                </c:pt>
                <c:pt idx="15">
                  <c:v>36942.206222243731</c:v>
                </c:pt>
                <c:pt idx="16">
                  <c:v>36942.206222243731</c:v>
                </c:pt>
                <c:pt idx="17">
                  <c:v>36942.206222243731</c:v>
                </c:pt>
                <c:pt idx="18">
                  <c:v>36942.206222243731</c:v>
                </c:pt>
                <c:pt idx="19">
                  <c:v>36942.206222243731</c:v>
                </c:pt>
                <c:pt idx="20">
                  <c:v>36942.206222243731</c:v>
                </c:pt>
                <c:pt idx="21">
                  <c:v>36942.206222243731</c:v>
                </c:pt>
                <c:pt idx="22">
                  <c:v>36942.206222243731</c:v>
                </c:pt>
                <c:pt idx="23">
                  <c:v>36942.206222243731</c:v>
                </c:pt>
                <c:pt idx="24">
                  <c:v>36942.206222243731</c:v>
                </c:pt>
                <c:pt idx="25">
                  <c:v>36942.206222243731</c:v>
                </c:pt>
                <c:pt idx="26" formatCode="General">
                  <c:v>36942.206222243731</c:v>
                </c:pt>
                <c:pt idx="27" formatCode="General">
                  <c:v>36942.206222243731</c:v>
                </c:pt>
                <c:pt idx="28" formatCode="General">
                  <c:v>36942.206222243731</c:v>
                </c:pt>
                <c:pt idx="29" formatCode="General">
                  <c:v>36942.206222243731</c:v>
                </c:pt>
                <c:pt idx="30" formatCode="General">
                  <c:v>36942.206222243731</c:v>
                </c:pt>
                <c:pt idx="31" formatCode="General">
                  <c:v>36942.206222243731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3F-43E9-88BB-35141AFE91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8585600"/>
        <c:axId val="248591488"/>
      </c:lineChart>
      <c:dateAx>
        <c:axId val="24858560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248591488"/>
        <c:crosses val="autoZero"/>
        <c:auto val="1"/>
        <c:lblOffset val="100"/>
        <c:baseTimeUnit val="months"/>
      </c:dateAx>
      <c:valAx>
        <c:axId val="248591488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24858560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D"/>
              <a:t>SES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 Smoothing - Orange Opt'!$B$1</c:f>
              <c:strCache>
                <c:ptCount val="1"/>
                <c:pt idx="0">
                  <c:v>actual</c:v>
                </c:pt>
              </c:strCache>
            </c:strRef>
          </c:tx>
          <c:marker>
            <c:symbol val="none"/>
          </c:marker>
          <c:cat>
            <c:numRef>
              <c:f>'Exp Smoothing - Orange Opt'!$A$54:$A$85</c:f>
              <c:numCache>
                <c:formatCode>m/d/yyyy</c:formatCode>
                <c:ptCount val="32"/>
                <c:pt idx="0">
                  <c:v>44712</c:v>
                </c:pt>
                <c:pt idx="1">
                  <c:v>44742</c:v>
                </c:pt>
                <c:pt idx="2">
                  <c:v>44773</c:v>
                </c:pt>
                <c:pt idx="3">
                  <c:v>44804</c:v>
                </c:pt>
                <c:pt idx="4">
                  <c:v>44834</c:v>
                </c:pt>
                <c:pt idx="5">
                  <c:v>44865</c:v>
                </c:pt>
                <c:pt idx="6">
                  <c:v>44895</c:v>
                </c:pt>
                <c:pt idx="7">
                  <c:v>44926</c:v>
                </c:pt>
                <c:pt idx="8">
                  <c:v>44957</c:v>
                </c:pt>
                <c:pt idx="9">
                  <c:v>44985</c:v>
                </c:pt>
                <c:pt idx="10">
                  <c:v>45016</c:v>
                </c:pt>
                <c:pt idx="11">
                  <c:v>45046</c:v>
                </c:pt>
                <c:pt idx="12">
                  <c:v>45077</c:v>
                </c:pt>
                <c:pt idx="13">
                  <c:v>45107</c:v>
                </c:pt>
                <c:pt idx="14">
                  <c:v>45138</c:v>
                </c:pt>
                <c:pt idx="15">
                  <c:v>45169</c:v>
                </c:pt>
                <c:pt idx="16">
                  <c:v>45199</c:v>
                </c:pt>
                <c:pt idx="17">
                  <c:v>45230</c:v>
                </c:pt>
                <c:pt idx="18">
                  <c:v>45260</c:v>
                </c:pt>
                <c:pt idx="19">
                  <c:v>45291</c:v>
                </c:pt>
                <c:pt idx="20">
                  <c:v>45322</c:v>
                </c:pt>
                <c:pt idx="21">
                  <c:v>45351</c:v>
                </c:pt>
                <c:pt idx="22">
                  <c:v>45382</c:v>
                </c:pt>
                <c:pt idx="23">
                  <c:v>45412</c:v>
                </c:pt>
                <c:pt idx="24">
                  <c:v>45443</c:v>
                </c:pt>
                <c:pt idx="25">
                  <c:v>45473</c:v>
                </c:pt>
                <c:pt idx="26">
                  <c:v>45504</c:v>
                </c:pt>
                <c:pt idx="27">
                  <c:v>45535</c:v>
                </c:pt>
                <c:pt idx="28">
                  <c:v>45565</c:v>
                </c:pt>
                <c:pt idx="29">
                  <c:v>45596</c:v>
                </c:pt>
                <c:pt idx="30">
                  <c:v>45626</c:v>
                </c:pt>
                <c:pt idx="31">
                  <c:v>45657</c:v>
                </c:pt>
              </c:numCache>
            </c:numRef>
          </c:cat>
          <c:val>
            <c:numRef>
              <c:f>'Exp Smoothing - Orange Opt'!$B$54:$B$77</c:f>
              <c:numCache>
                <c:formatCode>_(* #,##0_);_(* \(#,##0\);_(* "-"??_);_(@_)</c:formatCode>
                <c:ptCount val="24"/>
                <c:pt idx="0" formatCode="#,##0">
                  <c:v>49191</c:v>
                </c:pt>
                <c:pt idx="1">
                  <c:v>32408</c:v>
                </c:pt>
                <c:pt idx="2">
                  <c:v>28554</c:v>
                </c:pt>
                <c:pt idx="3">
                  <c:v>44473</c:v>
                </c:pt>
                <c:pt idx="4">
                  <c:v>42148</c:v>
                </c:pt>
                <c:pt idx="5">
                  <c:v>40341</c:v>
                </c:pt>
                <c:pt idx="6">
                  <c:v>41282</c:v>
                </c:pt>
                <c:pt idx="7">
                  <c:v>40045</c:v>
                </c:pt>
                <c:pt idx="8">
                  <c:v>30805</c:v>
                </c:pt>
                <c:pt idx="9">
                  <c:v>36904</c:v>
                </c:pt>
                <c:pt idx="10">
                  <c:v>47258</c:v>
                </c:pt>
                <c:pt idx="11">
                  <c:v>33977</c:v>
                </c:pt>
                <c:pt idx="12">
                  <c:v>51732</c:v>
                </c:pt>
                <c:pt idx="13">
                  <c:v>42493</c:v>
                </c:pt>
                <c:pt idx="14">
                  <c:v>33368</c:v>
                </c:pt>
                <c:pt idx="15">
                  <c:v>52612</c:v>
                </c:pt>
                <c:pt idx="16">
                  <c:v>52467</c:v>
                </c:pt>
                <c:pt idx="17">
                  <c:v>42235</c:v>
                </c:pt>
                <c:pt idx="18">
                  <c:v>59404</c:v>
                </c:pt>
                <c:pt idx="19">
                  <c:v>52434</c:v>
                </c:pt>
                <c:pt idx="20">
                  <c:v>52855</c:v>
                </c:pt>
                <c:pt idx="21">
                  <c:v>45697</c:v>
                </c:pt>
                <c:pt idx="22" formatCode="_(* #,##0_);_(* \(#,##0\);_(* &quot;-&quot;_);_(@_)">
                  <c:v>42815</c:v>
                </c:pt>
                <c:pt idx="23" formatCode="_(* #,##0_);_(* \(#,##0\);_(* &quot;-&quot;_);_(@_)">
                  <c:v>35800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31-4480-96E7-A72B23A82709}"/>
            </c:ext>
          </c:extLst>
        </c:ser>
        <c:ser>
          <c:idx val="1"/>
          <c:order val="1"/>
          <c:tx>
            <c:strRef>
              <c:f>'Exp Smoothing - Orange Opt'!$C$1</c:f>
              <c:strCache>
                <c:ptCount val="1"/>
                <c:pt idx="0">
                  <c:v>forecast</c:v>
                </c:pt>
              </c:strCache>
            </c:strRef>
          </c:tx>
          <c:marker>
            <c:symbol val="none"/>
          </c:marker>
          <c:cat>
            <c:numRef>
              <c:f>'Exp Smoothing - Orange Opt'!$A$54:$A$85</c:f>
              <c:numCache>
                <c:formatCode>m/d/yyyy</c:formatCode>
                <c:ptCount val="32"/>
                <c:pt idx="0">
                  <c:v>44712</c:v>
                </c:pt>
                <c:pt idx="1">
                  <c:v>44742</c:v>
                </c:pt>
                <c:pt idx="2">
                  <c:v>44773</c:v>
                </c:pt>
                <c:pt idx="3">
                  <c:v>44804</c:v>
                </c:pt>
                <c:pt idx="4">
                  <c:v>44834</c:v>
                </c:pt>
                <c:pt idx="5">
                  <c:v>44865</c:v>
                </c:pt>
                <c:pt idx="6">
                  <c:v>44895</c:v>
                </c:pt>
                <c:pt idx="7">
                  <c:v>44926</c:v>
                </c:pt>
                <c:pt idx="8">
                  <c:v>44957</c:v>
                </c:pt>
                <c:pt idx="9">
                  <c:v>44985</c:v>
                </c:pt>
                <c:pt idx="10">
                  <c:v>45016</c:v>
                </c:pt>
                <c:pt idx="11">
                  <c:v>45046</c:v>
                </c:pt>
                <c:pt idx="12">
                  <c:v>45077</c:v>
                </c:pt>
                <c:pt idx="13">
                  <c:v>45107</c:v>
                </c:pt>
                <c:pt idx="14">
                  <c:v>45138</c:v>
                </c:pt>
                <c:pt idx="15">
                  <c:v>45169</c:v>
                </c:pt>
                <c:pt idx="16">
                  <c:v>45199</c:v>
                </c:pt>
                <c:pt idx="17">
                  <c:v>45230</c:v>
                </c:pt>
                <c:pt idx="18">
                  <c:v>45260</c:v>
                </c:pt>
                <c:pt idx="19">
                  <c:v>45291</c:v>
                </c:pt>
                <c:pt idx="20">
                  <c:v>45322</c:v>
                </c:pt>
                <c:pt idx="21">
                  <c:v>45351</c:v>
                </c:pt>
                <c:pt idx="22">
                  <c:v>45382</c:v>
                </c:pt>
                <c:pt idx="23">
                  <c:v>45412</c:v>
                </c:pt>
                <c:pt idx="24">
                  <c:v>45443</c:v>
                </c:pt>
                <c:pt idx="25">
                  <c:v>45473</c:v>
                </c:pt>
                <c:pt idx="26">
                  <c:v>45504</c:v>
                </c:pt>
                <c:pt idx="27">
                  <c:v>45535</c:v>
                </c:pt>
                <c:pt idx="28">
                  <c:v>45565</c:v>
                </c:pt>
                <c:pt idx="29">
                  <c:v>45596</c:v>
                </c:pt>
                <c:pt idx="30">
                  <c:v>45626</c:v>
                </c:pt>
                <c:pt idx="31">
                  <c:v>45657</c:v>
                </c:pt>
              </c:numCache>
            </c:numRef>
          </c:cat>
          <c:val>
            <c:numRef>
              <c:f>'Exp Smoothing - Orange Opt'!$C$54:$C$85</c:f>
              <c:numCache>
                <c:formatCode>_(* #,##0_);_(* \(#,##0\);_(* "-"??_);_(@_)</c:formatCode>
                <c:ptCount val="32"/>
                <c:pt idx="0">
                  <c:v>40378.663554117469</c:v>
                </c:pt>
                <c:pt idx="1">
                  <c:v>40445.631454763439</c:v>
                </c:pt>
                <c:pt idx="2">
                  <c:v>40384.550797210584</c:v>
                </c:pt>
                <c:pt idx="3">
                  <c:v>40294.64647328468</c:v>
                </c:pt>
                <c:pt idx="4">
                  <c:v>40326.399183313311</c:v>
                </c:pt>
                <c:pt idx="5">
                  <c:v>40340.242138953698</c:v>
                </c:pt>
                <c:pt idx="6">
                  <c:v>40340.247898194008</c:v>
                </c:pt>
                <c:pt idx="7">
                  <c:v>40347.404588315207</c:v>
                </c:pt>
                <c:pt idx="8">
                  <c:v>40345.106514410574</c:v>
                </c:pt>
                <c:pt idx="9">
                  <c:v>40272.608044892026</c:v>
                </c:pt>
                <c:pt idx="10">
                  <c:v>40247.008862399292</c:v>
                </c:pt>
                <c:pt idx="11">
                  <c:v>40300.287735807717</c:v>
                </c:pt>
                <c:pt idx="12">
                  <c:v>40252.234951231469</c:v>
                </c:pt>
                <c:pt idx="13">
                  <c:v>40252.234951231469</c:v>
                </c:pt>
                <c:pt idx="14">
                  <c:v>40252.234951231469</c:v>
                </c:pt>
                <c:pt idx="15">
                  <c:v>40252.234951231469</c:v>
                </c:pt>
                <c:pt idx="16">
                  <c:v>40252.234951231469</c:v>
                </c:pt>
                <c:pt idx="17">
                  <c:v>40252.234951231469</c:v>
                </c:pt>
                <c:pt idx="18">
                  <c:v>40252.234951231469</c:v>
                </c:pt>
                <c:pt idx="19">
                  <c:v>40252.234951231469</c:v>
                </c:pt>
                <c:pt idx="20">
                  <c:v>40252.234951231469</c:v>
                </c:pt>
                <c:pt idx="21">
                  <c:v>40252.234951231469</c:v>
                </c:pt>
                <c:pt idx="22">
                  <c:v>40252.234951231469</c:v>
                </c:pt>
                <c:pt idx="23">
                  <c:v>40252.234951231469</c:v>
                </c:pt>
                <c:pt idx="24">
                  <c:v>40252.234951231469</c:v>
                </c:pt>
                <c:pt idx="25">
                  <c:v>40252.234951231469</c:v>
                </c:pt>
                <c:pt idx="26" formatCode="General">
                  <c:v>40252.234951231469</c:v>
                </c:pt>
                <c:pt idx="27" formatCode="General">
                  <c:v>40252.234951231469</c:v>
                </c:pt>
                <c:pt idx="28" formatCode="General">
                  <c:v>40252.234951231469</c:v>
                </c:pt>
                <c:pt idx="29" formatCode="General">
                  <c:v>40252.234951231469</c:v>
                </c:pt>
                <c:pt idx="30" formatCode="General">
                  <c:v>40252.234951231469</c:v>
                </c:pt>
                <c:pt idx="31" formatCode="General">
                  <c:v>40252.234951231469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31-4480-96E7-A72B23A827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8585600"/>
        <c:axId val="248591488"/>
      </c:lineChart>
      <c:dateAx>
        <c:axId val="24858560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248591488"/>
        <c:crosses val="autoZero"/>
        <c:auto val="1"/>
        <c:lblOffset val="100"/>
        <c:baseTimeUnit val="months"/>
      </c:dateAx>
      <c:valAx>
        <c:axId val="248591488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24858560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HWES</a:t>
            </a:r>
            <a:r>
              <a:rPr lang="en-GB" baseline="0"/>
              <a:t> (+)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'Holt-Winters add'!$F$3</c:f>
              <c:strCache>
                <c:ptCount val="1"/>
                <c:pt idx="0">
                  <c:v>actual</c:v>
                </c:pt>
              </c:strCache>
            </c:strRef>
          </c:tx>
          <c:marker>
            <c:symbol val="none"/>
          </c:marker>
          <c:cat>
            <c:numRef>
              <c:f>'Holt-Winters add'!$E$56:$E$87</c:f>
              <c:numCache>
                <c:formatCode>m/d/yyyy</c:formatCode>
                <c:ptCount val="32"/>
                <c:pt idx="0">
                  <c:v>44712</c:v>
                </c:pt>
                <c:pt idx="1">
                  <c:v>44742</c:v>
                </c:pt>
                <c:pt idx="2">
                  <c:v>44773</c:v>
                </c:pt>
                <c:pt idx="3">
                  <c:v>44804</c:v>
                </c:pt>
                <c:pt idx="4">
                  <c:v>44834</c:v>
                </c:pt>
                <c:pt idx="5">
                  <c:v>44865</c:v>
                </c:pt>
                <c:pt idx="6">
                  <c:v>44895</c:v>
                </c:pt>
                <c:pt idx="7">
                  <c:v>44926</c:v>
                </c:pt>
                <c:pt idx="8">
                  <c:v>44957</c:v>
                </c:pt>
                <c:pt idx="9">
                  <c:v>44985</c:v>
                </c:pt>
                <c:pt idx="10">
                  <c:v>45016</c:v>
                </c:pt>
                <c:pt idx="11">
                  <c:v>45046</c:v>
                </c:pt>
                <c:pt idx="12">
                  <c:v>45077</c:v>
                </c:pt>
                <c:pt idx="13">
                  <c:v>45107</c:v>
                </c:pt>
                <c:pt idx="14">
                  <c:v>45138</c:v>
                </c:pt>
                <c:pt idx="15">
                  <c:v>45169</c:v>
                </c:pt>
                <c:pt idx="16">
                  <c:v>45199</c:v>
                </c:pt>
                <c:pt idx="17">
                  <c:v>45230</c:v>
                </c:pt>
                <c:pt idx="18">
                  <c:v>45260</c:v>
                </c:pt>
                <c:pt idx="19">
                  <c:v>45291</c:v>
                </c:pt>
                <c:pt idx="20">
                  <c:v>45322</c:v>
                </c:pt>
                <c:pt idx="21">
                  <c:v>45351</c:v>
                </c:pt>
                <c:pt idx="22">
                  <c:v>45382</c:v>
                </c:pt>
                <c:pt idx="23">
                  <c:v>45412</c:v>
                </c:pt>
                <c:pt idx="24">
                  <c:v>45443</c:v>
                </c:pt>
                <c:pt idx="25">
                  <c:v>45473</c:v>
                </c:pt>
                <c:pt idx="26">
                  <c:v>45504</c:v>
                </c:pt>
                <c:pt idx="27">
                  <c:v>45535</c:v>
                </c:pt>
                <c:pt idx="28">
                  <c:v>45565</c:v>
                </c:pt>
                <c:pt idx="29">
                  <c:v>45596</c:v>
                </c:pt>
                <c:pt idx="30">
                  <c:v>45626</c:v>
                </c:pt>
                <c:pt idx="31">
                  <c:v>45657</c:v>
                </c:pt>
              </c:numCache>
            </c:numRef>
          </c:cat>
          <c:val>
            <c:numRef>
              <c:f>'Holt-Winters add'!$F$56:$F$79</c:f>
              <c:numCache>
                <c:formatCode>_(* #,##0_);_(* \(#,##0\);_(* "-"_);_(@_)</c:formatCode>
                <c:ptCount val="24"/>
                <c:pt idx="0">
                  <c:v>49191</c:v>
                </c:pt>
                <c:pt idx="1">
                  <c:v>32408</c:v>
                </c:pt>
                <c:pt idx="2">
                  <c:v>28554</c:v>
                </c:pt>
                <c:pt idx="3">
                  <c:v>44473</c:v>
                </c:pt>
                <c:pt idx="4">
                  <c:v>42148</c:v>
                </c:pt>
                <c:pt idx="5">
                  <c:v>40341</c:v>
                </c:pt>
                <c:pt idx="6">
                  <c:v>41282</c:v>
                </c:pt>
                <c:pt idx="7">
                  <c:v>40045</c:v>
                </c:pt>
                <c:pt idx="8">
                  <c:v>30805</c:v>
                </c:pt>
                <c:pt idx="9">
                  <c:v>36904</c:v>
                </c:pt>
                <c:pt idx="10">
                  <c:v>47258</c:v>
                </c:pt>
                <c:pt idx="11">
                  <c:v>33977</c:v>
                </c:pt>
                <c:pt idx="12">
                  <c:v>51732</c:v>
                </c:pt>
                <c:pt idx="13">
                  <c:v>42493</c:v>
                </c:pt>
                <c:pt idx="14">
                  <c:v>33368</c:v>
                </c:pt>
                <c:pt idx="15">
                  <c:v>52612</c:v>
                </c:pt>
                <c:pt idx="16">
                  <c:v>52467</c:v>
                </c:pt>
                <c:pt idx="17">
                  <c:v>42235</c:v>
                </c:pt>
                <c:pt idx="18">
                  <c:v>59404</c:v>
                </c:pt>
                <c:pt idx="19">
                  <c:v>52434</c:v>
                </c:pt>
                <c:pt idx="20">
                  <c:v>52855</c:v>
                </c:pt>
                <c:pt idx="21">
                  <c:v>45697</c:v>
                </c:pt>
                <c:pt idx="22">
                  <c:v>42815</c:v>
                </c:pt>
                <c:pt idx="23">
                  <c:v>35800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0E-4739-8D34-07A1A5AC94DE}"/>
            </c:ext>
          </c:extLst>
        </c:ser>
        <c:ser>
          <c:idx val="1"/>
          <c:order val="1"/>
          <c:tx>
            <c:strRef>
              <c:f>'Holt-Winters add'!$J$3</c:f>
              <c:strCache>
                <c:ptCount val="1"/>
                <c:pt idx="0">
                  <c:v>forecast</c:v>
                </c:pt>
              </c:strCache>
            </c:strRef>
          </c:tx>
          <c:marker>
            <c:symbol val="none"/>
          </c:marker>
          <c:cat>
            <c:numRef>
              <c:f>'Holt-Winters add'!$E$56:$E$87</c:f>
              <c:numCache>
                <c:formatCode>m/d/yyyy</c:formatCode>
                <c:ptCount val="32"/>
                <c:pt idx="0">
                  <c:v>44712</c:v>
                </c:pt>
                <c:pt idx="1">
                  <c:v>44742</c:v>
                </c:pt>
                <c:pt idx="2">
                  <c:v>44773</c:v>
                </c:pt>
                <c:pt idx="3">
                  <c:v>44804</c:v>
                </c:pt>
                <c:pt idx="4">
                  <c:v>44834</c:v>
                </c:pt>
                <c:pt idx="5">
                  <c:v>44865</c:v>
                </c:pt>
                <c:pt idx="6">
                  <c:v>44895</c:v>
                </c:pt>
                <c:pt idx="7">
                  <c:v>44926</c:v>
                </c:pt>
                <c:pt idx="8">
                  <c:v>44957</c:v>
                </c:pt>
                <c:pt idx="9">
                  <c:v>44985</c:v>
                </c:pt>
                <c:pt idx="10">
                  <c:v>45016</c:v>
                </c:pt>
                <c:pt idx="11">
                  <c:v>45046</c:v>
                </c:pt>
                <c:pt idx="12">
                  <c:v>45077</c:v>
                </c:pt>
                <c:pt idx="13">
                  <c:v>45107</c:v>
                </c:pt>
                <c:pt idx="14">
                  <c:v>45138</c:v>
                </c:pt>
                <c:pt idx="15">
                  <c:v>45169</c:v>
                </c:pt>
                <c:pt idx="16">
                  <c:v>45199</c:v>
                </c:pt>
                <c:pt idx="17">
                  <c:v>45230</c:v>
                </c:pt>
                <c:pt idx="18">
                  <c:v>45260</c:v>
                </c:pt>
                <c:pt idx="19">
                  <c:v>45291</c:v>
                </c:pt>
                <c:pt idx="20">
                  <c:v>45322</c:v>
                </c:pt>
                <c:pt idx="21">
                  <c:v>45351</c:v>
                </c:pt>
                <c:pt idx="22">
                  <c:v>45382</c:v>
                </c:pt>
                <c:pt idx="23">
                  <c:v>45412</c:v>
                </c:pt>
                <c:pt idx="24">
                  <c:v>45443</c:v>
                </c:pt>
                <c:pt idx="25">
                  <c:v>45473</c:v>
                </c:pt>
                <c:pt idx="26">
                  <c:v>45504</c:v>
                </c:pt>
                <c:pt idx="27">
                  <c:v>45535</c:v>
                </c:pt>
                <c:pt idx="28">
                  <c:v>45565</c:v>
                </c:pt>
                <c:pt idx="29">
                  <c:v>45596</c:v>
                </c:pt>
                <c:pt idx="30">
                  <c:v>45626</c:v>
                </c:pt>
                <c:pt idx="31">
                  <c:v>45657</c:v>
                </c:pt>
              </c:numCache>
            </c:numRef>
          </c:cat>
          <c:val>
            <c:numRef>
              <c:f>'Holt-Winters add'!$J$56:$J$87</c:f>
              <c:numCache>
                <c:formatCode>_(* #,##0.00_);_(* \(#,##0.00\);_(* "-"??_);_(@_)</c:formatCode>
                <c:ptCount val="32"/>
                <c:pt idx="0">
                  <c:v>42908.822199667302</c:v>
                </c:pt>
                <c:pt idx="1">
                  <c:v>25182.153931906425</c:v>
                </c:pt>
                <c:pt idx="2">
                  <c:v>35440.606533872138</c:v>
                </c:pt>
                <c:pt idx="3">
                  <c:v>51270.893175730809</c:v>
                </c:pt>
                <c:pt idx="4">
                  <c:v>40506.502522845054</c:v>
                </c:pt>
                <c:pt idx="5">
                  <c:v>49501.791869521505</c:v>
                </c:pt>
                <c:pt idx="6">
                  <c:v>33829.458967219274</c:v>
                </c:pt>
                <c:pt idx="7">
                  <c:v>46590.997668951823</c:v>
                </c:pt>
                <c:pt idx="8">
                  <c:v>39368.219192930679</c:v>
                </c:pt>
                <c:pt idx="9">
                  <c:v>28250.984735742546</c:v>
                </c:pt>
                <c:pt idx="10">
                  <c:v>41015.031660261215</c:v>
                </c:pt>
                <c:pt idx="11">
                  <c:v>33977.026295840129</c:v>
                </c:pt>
                <c:pt idx="12">
                  <c:v>53152.644972427333</c:v>
                </c:pt>
                <c:pt idx="13">
                  <c:v>34702.859061414172</c:v>
                </c:pt>
                <c:pt idx="14">
                  <c:v>42841.041736625673</c:v>
                </c:pt>
                <c:pt idx="15">
                  <c:v>58665.217262096041</c:v>
                </c:pt>
                <c:pt idx="16">
                  <c:v>48800.104430632295</c:v>
                </c:pt>
                <c:pt idx="17">
                  <c:v>56930.664415657076</c:v>
                </c:pt>
                <c:pt idx="18">
                  <c:v>43242.421807936757</c:v>
                </c:pt>
                <c:pt idx="19">
                  <c:v>54700.746517062842</c:v>
                </c:pt>
                <c:pt idx="20">
                  <c:v>48127.846408071127</c:v>
                </c:pt>
                <c:pt idx="21">
                  <c:v>39453.927330707113</c:v>
                </c:pt>
                <c:pt idx="22">
                  <c:v>51928.293311210808</c:v>
                </c:pt>
                <c:pt idx="23">
                  <c:v>44139.901418281021</c:v>
                </c:pt>
                <c:pt idx="24">
                  <c:v>63315.523255537955</c:v>
                </c:pt>
                <c:pt idx="25">
                  <c:v>44865.737344524794</c:v>
                </c:pt>
                <c:pt idx="26">
                  <c:v>53003.920019736295</c:v>
                </c:pt>
                <c:pt idx="27">
                  <c:v>68828.095545206656</c:v>
                </c:pt>
                <c:pt idx="28">
                  <c:v>58962.982713742917</c:v>
                </c:pt>
                <c:pt idx="29">
                  <c:v>67093.542698767706</c:v>
                </c:pt>
                <c:pt idx="30">
                  <c:v>53405.300091047378</c:v>
                </c:pt>
                <c:pt idx="31">
                  <c:v>64863.624800173464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0E-4739-8D34-07A1A5AC94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4762304"/>
        <c:axId val="494759952"/>
      </c:lineChart>
      <c:dateAx>
        <c:axId val="494762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time</a:t>
                </a:r>
              </a:p>
            </c:rich>
          </c:tx>
          <c:overlay val="0"/>
        </c:title>
        <c:numFmt formatCode="m/d/yyyy" sourceLinked="1"/>
        <c:majorTickMark val="out"/>
        <c:minorTickMark val="none"/>
        <c:tickLblPos val="nextTo"/>
        <c:crossAx val="494759952"/>
        <c:crosses val="autoZero"/>
        <c:auto val="1"/>
        <c:lblOffset val="100"/>
        <c:baseTimeUnit val="months"/>
      </c:dateAx>
      <c:valAx>
        <c:axId val="494759952"/>
        <c:scaling>
          <c:orientation val="minMax"/>
          <c:max val="7000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value</a:t>
                </a:r>
              </a:p>
            </c:rich>
          </c:tx>
          <c:overlay val="0"/>
        </c:title>
        <c:numFmt formatCode="_(* #,##0_);_(* \(#,##0\);_(* &quot;-&quot;_);_(@_)" sourceLinked="1"/>
        <c:majorTickMark val="out"/>
        <c:minorTickMark val="none"/>
        <c:tickLblPos val="nextTo"/>
        <c:crossAx val="49476230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HWES</a:t>
            </a:r>
            <a:r>
              <a:rPr lang="en-GB" baseline="0"/>
              <a:t> (x)</a:t>
            </a:r>
            <a:endParaRPr lang="en-GB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'Holt-Winters mlt'!$F$3</c:f>
              <c:strCache>
                <c:ptCount val="1"/>
                <c:pt idx="0">
                  <c:v>actual</c:v>
                </c:pt>
              </c:strCache>
            </c:strRef>
          </c:tx>
          <c:marker>
            <c:symbol val="none"/>
          </c:marker>
          <c:cat>
            <c:numRef>
              <c:f>'Holt-Winters mlt'!$E$56:$E$87</c:f>
              <c:numCache>
                <c:formatCode>m/d/yyyy</c:formatCode>
                <c:ptCount val="32"/>
                <c:pt idx="0">
                  <c:v>44712</c:v>
                </c:pt>
                <c:pt idx="1">
                  <c:v>44742</c:v>
                </c:pt>
                <c:pt idx="2">
                  <c:v>44773</c:v>
                </c:pt>
                <c:pt idx="3">
                  <c:v>44804</c:v>
                </c:pt>
                <c:pt idx="4">
                  <c:v>44834</c:v>
                </c:pt>
                <c:pt idx="5">
                  <c:v>44865</c:v>
                </c:pt>
                <c:pt idx="6">
                  <c:v>44895</c:v>
                </c:pt>
                <c:pt idx="7">
                  <c:v>44926</c:v>
                </c:pt>
                <c:pt idx="8">
                  <c:v>44957</c:v>
                </c:pt>
                <c:pt idx="9">
                  <c:v>44985</c:v>
                </c:pt>
                <c:pt idx="10">
                  <c:v>45016</c:v>
                </c:pt>
                <c:pt idx="11">
                  <c:v>45046</c:v>
                </c:pt>
                <c:pt idx="12">
                  <c:v>45077</c:v>
                </c:pt>
                <c:pt idx="13">
                  <c:v>45107</c:v>
                </c:pt>
                <c:pt idx="14">
                  <c:v>45138</c:v>
                </c:pt>
                <c:pt idx="15">
                  <c:v>45169</c:v>
                </c:pt>
                <c:pt idx="16">
                  <c:v>45199</c:v>
                </c:pt>
                <c:pt idx="17">
                  <c:v>45230</c:v>
                </c:pt>
                <c:pt idx="18">
                  <c:v>45260</c:v>
                </c:pt>
                <c:pt idx="19">
                  <c:v>45291</c:v>
                </c:pt>
                <c:pt idx="20">
                  <c:v>45322</c:v>
                </c:pt>
                <c:pt idx="21">
                  <c:v>45351</c:v>
                </c:pt>
                <c:pt idx="22">
                  <c:v>45382</c:v>
                </c:pt>
                <c:pt idx="23">
                  <c:v>45412</c:v>
                </c:pt>
                <c:pt idx="24">
                  <c:v>45443</c:v>
                </c:pt>
                <c:pt idx="25">
                  <c:v>45473</c:v>
                </c:pt>
                <c:pt idx="26">
                  <c:v>45504</c:v>
                </c:pt>
                <c:pt idx="27">
                  <c:v>45535</c:v>
                </c:pt>
                <c:pt idx="28">
                  <c:v>45565</c:v>
                </c:pt>
                <c:pt idx="29">
                  <c:v>45596</c:v>
                </c:pt>
                <c:pt idx="30">
                  <c:v>45626</c:v>
                </c:pt>
                <c:pt idx="31">
                  <c:v>45657</c:v>
                </c:pt>
              </c:numCache>
            </c:numRef>
          </c:cat>
          <c:val>
            <c:numRef>
              <c:f>'Holt-Winters mlt'!$F$56:$F$79</c:f>
              <c:numCache>
                <c:formatCode>General</c:formatCode>
                <c:ptCount val="24"/>
                <c:pt idx="0">
                  <c:v>49191</c:v>
                </c:pt>
                <c:pt idx="1">
                  <c:v>32408</c:v>
                </c:pt>
                <c:pt idx="2">
                  <c:v>28554</c:v>
                </c:pt>
                <c:pt idx="3">
                  <c:v>44473</c:v>
                </c:pt>
                <c:pt idx="4">
                  <c:v>42148</c:v>
                </c:pt>
                <c:pt idx="5">
                  <c:v>40341</c:v>
                </c:pt>
                <c:pt idx="6">
                  <c:v>41282</c:v>
                </c:pt>
                <c:pt idx="7">
                  <c:v>40045</c:v>
                </c:pt>
                <c:pt idx="8">
                  <c:v>30805</c:v>
                </c:pt>
                <c:pt idx="9">
                  <c:v>36904</c:v>
                </c:pt>
                <c:pt idx="10">
                  <c:v>47258</c:v>
                </c:pt>
                <c:pt idx="11">
                  <c:v>33977</c:v>
                </c:pt>
                <c:pt idx="12">
                  <c:v>51732</c:v>
                </c:pt>
                <c:pt idx="13">
                  <c:v>42493</c:v>
                </c:pt>
                <c:pt idx="14">
                  <c:v>33368</c:v>
                </c:pt>
                <c:pt idx="15">
                  <c:v>52612</c:v>
                </c:pt>
                <c:pt idx="16">
                  <c:v>52467</c:v>
                </c:pt>
                <c:pt idx="17">
                  <c:v>42235</c:v>
                </c:pt>
                <c:pt idx="18">
                  <c:v>59404</c:v>
                </c:pt>
                <c:pt idx="19">
                  <c:v>52434</c:v>
                </c:pt>
                <c:pt idx="20">
                  <c:v>52855</c:v>
                </c:pt>
                <c:pt idx="21">
                  <c:v>45697</c:v>
                </c:pt>
                <c:pt idx="22">
                  <c:v>42815</c:v>
                </c:pt>
                <c:pt idx="23">
                  <c:v>35800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92-4A0F-ACB4-B4B656B1BA6E}"/>
            </c:ext>
          </c:extLst>
        </c:ser>
        <c:ser>
          <c:idx val="1"/>
          <c:order val="1"/>
          <c:tx>
            <c:strRef>
              <c:f>'Holt-Winters mlt'!$J$3</c:f>
              <c:strCache>
                <c:ptCount val="1"/>
                <c:pt idx="0">
                  <c:v>forecast</c:v>
                </c:pt>
              </c:strCache>
            </c:strRef>
          </c:tx>
          <c:marker>
            <c:symbol val="none"/>
          </c:marker>
          <c:cat>
            <c:numRef>
              <c:f>'Holt-Winters mlt'!$E$56:$E$87</c:f>
              <c:numCache>
                <c:formatCode>m/d/yyyy</c:formatCode>
                <c:ptCount val="32"/>
                <c:pt idx="0">
                  <c:v>44712</c:v>
                </c:pt>
                <c:pt idx="1">
                  <c:v>44742</c:v>
                </c:pt>
                <c:pt idx="2">
                  <c:v>44773</c:v>
                </c:pt>
                <c:pt idx="3">
                  <c:v>44804</c:v>
                </c:pt>
                <c:pt idx="4">
                  <c:v>44834</c:v>
                </c:pt>
                <c:pt idx="5">
                  <c:v>44865</c:v>
                </c:pt>
                <c:pt idx="6">
                  <c:v>44895</c:v>
                </c:pt>
                <c:pt idx="7">
                  <c:v>44926</c:v>
                </c:pt>
                <c:pt idx="8">
                  <c:v>44957</c:v>
                </c:pt>
                <c:pt idx="9">
                  <c:v>44985</c:v>
                </c:pt>
                <c:pt idx="10">
                  <c:v>45016</c:v>
                </c:pt>
                <c:pt idx="11">
                  <c:v>45046</c:v>
                </c:pt>
                <c:pt idx="12">
                  <c:v>45077</c:v>
                </c:pt>
                <c:pt idx="13">
                  <c:v>45107</c:v>
                </c:pt>
                <c:pt idx="14">
                  <c:v>45138</c:v>
                </c:pt>
                <c:pt idx="15">
                  <c:v>45169</c:v>
                </c:pt>
                <c:pt idx="16">
                  <c:v>45199</c:v>
                </c:pt>
                <c:pt idx="17">
                  <c:v>45230</c:v>
                </c:pt>
                <c:pt idx="18">
                  <c:v>45260</c:v>
                </c:pt>
                <c:pt idx="19">
                  <c:v>45291</c:v>
                </c:pt>
                <c:pt idx="20">
                  <c:v>45322</c:v>
                </c:pt>
                <c:pt idx="21">
                  <c:v>45351</c:v>
                </c:pt>
                <c:pt idx="22">
                  <c:v>45382</c:v>
                </c:pt>
                <c:pt idx="23">
                  <c:v>45412</c:v>
                </c:pt>
                <c:pt idx="24">
                  <c:v>45443</c:v>
                </c:pt>
                <c:pt idx="25">
                  <c:v>45473</c:v>
                </c:pt>
                <c:pt idx="26">
                  <c:v>45504</c:v>
                </c:pt>
                <c:pt idx="27">
                  <c:v>45535</c:v>
                </c:pt>
                <c:pt idx="28">
                  <c:v>45565</c:v>
                </c:pt>
                <c:pt idx="29">
                  <c:v>45596</c:v>
                </c:pt>
                <c:pt idx="30">
                  <c:v>45626</c:v>
                </c:pt>
                <c:pt idx="31">
                  <c:v>45657</c:v>
                </c:pt>
              </c:numCache>
            </c:numRef>
          </c:cat>
          <c:val>
            <c:numRef>
              <c:f>'Holt-Winters mlt'!$J$56:$J$87</c:f>
              <c:numCache>
                <c:formatCode>_(* #,##0_);_(* \(#,##0\);_(* "-"_);_(@_)</c:formatCode>
                <c:ptCount val="32"/>
                <c:pt idx="0">
                  <c:v>31933.621503746701</c:v>
                </c:pt>
                <c:pt idx="1">
                  <c:v>28104.87094220136</c:v>
                </c:pt>
                <c:pt idx="2">
                  <c:v>36861.65348393732</c:v>
                </c:pt>
                <c:pt idx="3">
                  <c:v>45781.294272710082</c:v>
                </c:pt>
                <c:pt idx="4">
                  <c:v>42022.269918042082</c:v>
                </c:pt>
                <c:pt idx="5">
                  <c:v>48279.144717191928</c:v>
                </c:pt>
                <c:pt idx="6">
                  <c:v>40945.108966215455</c:v>
                </c:pt>
                <c:pt idx="7">
                  <c:v>48208.90134727976</c:v>
                </c:pt>
                <c:pt idx="8">
                  <c:v>41595.451166165374</c:v>
                </c:pt>
                <c:pt idx="9">
                  <c:v>23348.818484181953</c:v>
                </c:pt>
                <c:pt idx="10">
                  <c:v>36180.25725789836</c:v>
                </c:pt>
                <c:pt idx="11">
                  <c:v>31171.155042883809</c:v>
                </c:pt>
                <c:pt idx="12">
                  <c:v>45621.765841398774</c:v>
                </c:pt>
                <c:pt idx="13">
                  <c:v>32137.325090600105</c:v>
                </c:pt>
                <c:pt idx="14">
                  <c:v>37249.660192623269</c:v>
                </c:pt>
                <c:pt idx="15">
                  <c:v>52419.59275182811</c:v>
                </c:pt>
                <c:pt idx="16">
                  <c:v>49064.783595278837</c:v>
                </c:pt>
                <c:pt idx="17">
                  <c:v>54677.343484126701</c:v>
                </c:pt>
                <c:pt idx="18">
                  <c:v>51174.986550513131</c:v>
                </c:pt>
                <c:pt idx="19">
                  <c:v>58353.900354500031</c:v>
                </c:pt>
                <c:pt idx="20">
                  <c:v>52854.715953524661</c:v>
                </c:pt>
                <c:pt idx="21">
                  <c:v>37940.595041459026</c:v>
                </c:pt>
                <c:pt idx="22">
                  <c:v>47493.58265368874</c:v>
                </c:pt>
                <c:pt idx="23">
                  <c:v>35800.001604917503</c:v>
                </c:pt>
                <c:pt idx="24">
                  <c:v>49981.44431353375</c:v>
                </c:pt>
                <c:pt idx="25">
                  <c:v>35184.148703041865</c:v>
                </c:pt>
                <c:pt idx="26">
                  <c:v>40753.483744167985</c:v>
                </c:pt>
                <c:pt idx="27">
                  <c:v>57311.999604428187</c:v>
                </c:pt>
                <c:pt idx="28">
                  <c:v>53608.739349660165</c:v>
                </c:pt>
                <c:pt idx="29">
                  <c:v>59702.305269164513</c:v>
                </c:pt>
                <c:pt idx="30">
                  <c:v>55842.329557395584</c:v>
                </c:pt>
                <c:pt idx="31">
                  <c:v>63635.841805251679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92-4A0F-ACB4-B4B656B1BA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4757992"/>
        <c:axId val="494768576"/>
      </c:lineChart>
      <c:dateAx>
        <c:axId val="494757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time</a:t>
                </a:r>
              </a:p>
            </c:rich>
          </c:tx>
          <c:overlay val="0"/>
        </c:title>
        <c:numFmt formatCode="m/d/yyyy" sourceLinked="1"/>
        <c:majorTickMark val="out"/>
        <c:minorTickMark val="none"/>
        <c:tickLblPos val="nextTo"/>
        <c:crossAx val="494768576"/>
        <c:crosses val="autoZero"/>
        <c:auto val="1"/>
        <c:lblOffset val="100"/>
        <c:baseTimeUnit val="months"/>
      </c:dateAx>
      <c:valAx>
        <c:axId val="494768576"/>
        <c:scaling>
          <c:orientation val="minMax"/>
          <c:max val="7000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value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475799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 sz="1800" b="1"/>
              <a:t>ARIMA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ARIMA!$B$1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ARIMA!$A$54:$A$85</c:f>
              <c:numCache>
                <c:formatCode>m/d/yyyy</c:formatCode>
                <c:ptCount val="32"/>
                <c:pt idx="0">
                  <c:v>44712</c:v>
                </c:pt>
                <c:pt idx="1">
                  <c:v>44742</c:v>
                </c:pt>
                <c:pt idx="2">
                  <c:v>44773</c:v>
                </c:pt>
                <c:pt idx="3">
                  <c:v>44804</c:v>
                </c:pt>
                <c:pt idx="4">
                  <c:v>44834</c:v>
                </c:pt>
                <c:pt idx="5">
                  <c:v>44865</c:v>
                </c:pt>
                <c:pt idx="6">
                  <c:v>44895</c:v>
                </c:pt>
                <c:pt idx="7">
                  <c:v>44926</c:v>
                </c:pt>
                <c:pt idx="8">
                  <c:v>44957</c:v>
                </c:pt>
                <c:pt idx="9">
                  <c:v>44985</c:v>
                </c:pt>
                <c:pt idx="10">
                  <c:v>45016</c:v>
                </c:pt>
                <c:pt idx="11">
                  <c:v>45046</c:v>
                </c:pt>
                <c:pt idx="12">
                  <c:v>45077</c:v>
                </c:pt>
                <c:pt idx="13">
                  <c:v>45107</c:v>
                </c:pt>
                <c:pt idx="14">
                  <c:v>45138</c:v>
                </c:pt>
                <c:pt idx="15">
                  <c:v>45169</c:v>
                </c:pt>
                <c:pt idx="16">
                  <c:v>45199</c:v>
                </c:pt>
                <c:pt idx="17">
                  <c:v>45230</c:v>
                </c:pt>
                <c:pt idx="18">
                  <c:v>45260</c:v>
                </c:pt>
                <c:pt idx="19">
                  <c:v>45291</c:v>
                </c:pt>
                <c:pt idx="20">
                  <c:v>45322</c:v>
                </c:pt>
                <c:pt idx="21">
                  <c:v>45351</c:v>
                </c:pt>
                <c:pt idx="22">
                  <c:v>45382</c:v>
                </c:pt>
                <c:pt idx="23">
                  <c:v>45412</c:v>
                </c:pt>
                <c:pt idx="24">
                  <c:v>45443</c:v>
                </c:pt>
                <c:pt idx="25">
                  <c:v>45473</c:v>
                </c:pt>
                <c:pt idx="26">
                  <c:v>45504</c:v>
                </c:pt>
                <c:pt idx="27">
                  <c:v>45535</c:v>
                </c:pt>
                <c:pt idx="28">
                  <c:v>45565</c:v>
                </c:pt>
                <c:pt idx="29">
                  <c:v>45596</c:v>
                </c:pt>
                <c:pt idx="30">
                  <c:v>45626</c:v>
                </c:pt>
                <c:pt idx="31">
                  <c:v>45657</c:v>
                </c:pt>
              </c:numCache>
            </c:numRef>
          </c:cat>
          <c:val>
            <c:numRef>
              <c:f>ARIMA!$B$54:$B$85</c:f>
              <c:numCache>
                <c:formatCode>General</c:formatCode>
                <c:ptCount val="32"/>
                <c:pt idx="0">
                  <c:v>49191</c:v>
                </c:pt>
                <c:pt idx="1">
                  <c:v>32408</c:v>
                </c:pt>
                <c:pt idx="2">
                  <c:v>28554</c:v>
                </c:pt>
                <c:pt idx="3">
                  <c:v>44473</c:v>
                </c:pt>
                <c:pt idx="4">
                  <c:v>42148</c:v>
                </c:pt>
                <c:pt idx="5">
                  <c:v>40341</c:v>
                </c:pt>
                <c:pt idx="6">
                  <c:v>41282</c:v>
                </c:pt>
                <c:pt idx="7">
                  <c:v>40045</c:v>
                </c:pt>
                <c:pt idx="8">
                  <c:v>30805</c:v>
                </c:pt>
                <c:pt idx="9">
                  <c:v>36904</c:v>
                </c:pt>
                <c:pt idx="10">
                  <c:v>47258</c:v>
                </c:pt>
                <c:pt idx="11">
                  <c:v>33977</c:v>
                </c:pt>
                <c:pt idx="12">
                  <c:v>51732</c:v>
                </c:pt>
                <c:pt idx="13">
                  <c:v>42493</c:v>
                </c:pt>
                <c:pt idx="14">
                  <c:v>33368</c:v>
                </c:pt>
                <c:pt idx="15">
                  <c:v>52612</c:v>
                </c:pt>
                <c:pt idx="16">
                  <c:v>52467</c:v>
                </c:pt>
                <c:pt idx="17">
                  <c:v>42235</c:v>
                </c:pt>
                <c:pt idx="18">
                  <c:v>59404</c:v>
                </c:pt>
                <c:pt idx="19">
                  <c:v>52434</c:v>
                </c:pt>
                <c:pt idx="20">
                  <c:v>52855</c:v>
                </c:pt>
                <c:pt idx="21">
                  <c:v>45697</c:v>
                </c:pt>
                <c:pt idx="22">
                  <c:v>42815</c:v>
                </c:pt>
                <c:pt idx="23">
                  <c:v>35800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54-45FE-9D03-D31825D36C2F}"/>
            </c:ext>
          </c:extLst>
        </c:ser>
        <c:ser>
          <c:idx val="1"/>
          <c:order val="1"/>
          <c:tx>
            <c:strRef>
              <c:f>ARIMA!$C$1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ARIMA!$A$54:$A$85</c:f>
              <c:numCache>
                <c:formatCode>m/d/yyyy</c:formatCode>
                <c:ptCount val="32"/>
                <c:pt idx="0">
                  <c:v>44712</c:v>
                </c:pt>
                <c:pt idx="1">
                  <c:v>44742</c:v>
                </c:pt>
                <c:pt idx="2">
                  <c:v>44773</c:v>
                </c:pt>
                <c:pt idx="3">
                  <c:v>44804</c:v>
                </c:pt>
                <c:pt idx="4">
                  <c:v>44834</c:v>
                </c:pt>
                <c:pt idx="5">
                  <c:v>44865</c:v>
                </c:pt>
                <c:pt idx="6">
                  <c:v>44895</c:v>
                </c:pt>
                <c:pt idx="7">
                  <c:v>44926</c:v>
                </c:pt>
                <c:pt idx="8">
                  <c:v>44957</c:v>
                </c:pt>
                <c:pt idx="9">
                  <c:v>44985</c:v>
                </c:pt>
                <c:pt idx="10">
                  <c:v>45016</c:v>
                </c:pt>
                <c:pt idx="11">
                  <c:v>45046</c:v>
                </c:pt>
                <c:pt idx="12">
                  <c:v>45077</c:v>
                </c:pt>
                <c:pt idx="13">
                  <c:v>45107</c:v>
                </c:pt>
                <c:pt idx="14">
                  <c:v>45138</c:v>
                </c:pt>
                <c:pt idx="15">
                  <c:v>45169</c:v>
                </c:pt>
                <c:pt idx="16">
                  <c:v>45199</c:v>
                </c:pt>
                <c:pt idx="17">
                  <c:v>45230</c:v>
                </c:pt>
                <c:pt idx="18">
                  <c:v>45260</c:v>
                </c:pt>
                <c:pt idx="19">
                  <c:v>45291</c:v>
                </c:pt>
                <c:pt idx="20">
                  <c:v>45322</c:v>
                </c:pt>
                <c:pt idx="21">
                  <c:v>45351</c:v>
                </c:pt>
                <c:pt idx="22">
                  <c:v>45382</c:v>
                </c:pt>
                <c:pt idx="23">
                  <c:v>45412</c:v>
                </c:pt>
                <c:pt idx="24">
                  <c:v>45443</c:v>
                </c:pt>
                <c:pt idx="25">
                  <c:v>45473</c:v>
                </c:pt>
                <c:pt idx="26">
                  <c:v>45504</c:v>
                </c:pt>
                <c:pt idx="27">
                  <c:v>45535</c:v>
                </c:pt>
                <c:pt idx="28">
                  <c:v>45565</c:v>
                </c:pt>
                <c:pt idx="29">
                  <c:v>45596</c:v>
                </c:pt>
                <c:pt idx="30">
                  <c:v>45626</c:v>
                </c:pt>
                <c:pt idx="31">
                  <c:v>45657</c:v>
                </c:pt>
              </c:numCache>
            </c:numRef>
          </c:cat>
          <c:val>
            <c:numRef>
              <c:f>ARIMA!$C$54:$C$85</c:f>
              <c:numCache>
                <c:formatCode>General</c:formatCode>
                <c:ptCount val="32"/>
                <c:pt idx="0">
                  <c:v>51932.071205927197</c:v>
                </c:pt>
                <c:pt idx="1">
                  <c:v>53412.974122150299</c:v>
                </c:pt>
                <c:pt idx="2">
                  <c:v>53754.3763616094</c:v>
                </c:pt>
                <c:pt idx="3">
                  <c:v>52922.729263508598</c:v>
                </c:pt>
                <c:pt idx="4">
                  <c:v>51053.892336097299</c:v>
                </c:pt>
                <c:pt idx="5">
                  <c:v>48431.243647845797</c:v>
                </c:pt>
                <c:pt idx="6">
                  <c:v>45442.843972802497</c:v>
                </c:pt>
                <c:pt idx="7">
                  <c:v>42524.111275246898</c:v>
                </c:pt>
                <c:pt idx="8">
                  <c:v>40094.460474614898</c:v>
                </c:pt>
                <c:pt idx="9">
                  <c:v>38497.116669991199</c:v>
                </c:pt>
                <c:pt idx="10">
                  <c:v>37950.726708896502</c:v>
                </c:pt>
                <c:pt idx="11">
                  <c:v>38519.576489453</c:v>
                </c:pt>
                <c:pt idx="12">
                  <c:v>45520.797509362797</c:v>
                </c:pt>
                <c:pt idx="13">
                  <c:v>46738.303025027701</c:v>
                </c:pt>
                <c:pt idx="14">
                  <c:v>52299.203650923999</c:v>
                </c:pt>
                <c:pt idx="15">
                  <c:v>54821.0541607372</c:v>
                </c:pt>
                <c:pt idx="16">
                  <c:v>56875.257128046898</c:v>
                </c:pt>
                <c:pt idx="17">
                  <c:v>56889.147481553497</c:v>
                </c:pt>
                <c:pt idx="18">
                  <c:v>55457.891447672999</c:v>
                </c:pt>
                <c:pt idx="19">
                  <c:v>52554.960326986198</c:v>
                </c:pt>
                <c:pt idx="20">
                  <c:v>48730.6147064877</c:v>
                </c:pt>
                <c:pt idx="21">
                  <c:v>44498.611728955897</c:v>
                </c:pt>
                <c:pt idx="22">
                  <c:v>40496.088123982001</c:v>
                </c:pt>
                <c:pt idx="23">
                  <c:v>37286.586905914497</c:v>
                </c:pt>
                <c:pt idx="24">
                  <c:v>35325.819543877798</c:v>
                </c:pt>
                <c:pt idx="25">
                  <c:v>34877.142967002699</c:v>
                </c:pt>
                <c:pt idx="26">
                  <c:v>35985.301052025199</c:v>
                </c:pt>
                <c:pt idx="27">
                  <c:v>38468.970057668899</c:v>
                </c:pt>
                <c:pt idx="28">
                  <c:v>41951.750512569299</c:v>
                </c:pt>
                <c:pt idx="29">
                  <c:v>45918.263977210197</c:v>
                </c:pt>
                <c:pt idx="30">
                  <c:v>49790.635378521802</c:v>
                </c:pt>
                <c:pt idx="31">
                  <c:v>53012.4230262614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54-45FE-9D03-D31825D36C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5739855"/>
        <c:axId val="305736975"/>
      </c:lineChart>
      <c:dateAx>
        <c:axId val="30573985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736975"/>
        <c:crosses val="autoZero"/>
        <c:auto val="1"/>
        <c:lblOffset val="100"/>
        <c:baseTimeUnit val="months"/>
      </c:dateAx>
      <c:valAx>
        <c:axId val="305736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739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D"/>
              <a:t>SES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 Smoothing - Orange'!$B$1</c:f>
              <c:strCache>
                <c:ptCount val="1"/>
                <c:pt idx="0">
                  <c:v>actual</c:v>
                </c:pt>
              </c:strCache>
            </c:strRef>
          </c:tx>
          <c:marker>
            <c:symbol val="none"/>
          </c:marker>
          <c:cat>
            <c:numRef>
              <c:f>'Exp Smoothing - Orange'!$A$54:$A$85</c:f>
              <c:numCache>
                <c:formatCode>m/d/yyyy</c:formatCode>
                <c:ptCount val="32"/>
                <c:pt idx="0">
                  <c:v>44712</c:v>
                </c:pt>
                <c:pt idx="1">
                  <c:v>44742</c:v>
                </c:pt>
                <c:pt idx="2">
                  <c:v>44773</c:v>
                </c:pt>
                <c:pt idx="3">
                  <c:v>44804</c:v>
                </c:pt>
                <c:pt idx="4">
                  <c:v>44834</c:v>
                </c:pt>
                <c:pt idx="5">
                  <c:v>44865</c:v>
                </c:pt>
                <c:pt idx="6">
                  <c:v>44895</c:v>
                </c:pt>
                <c:pt idx="7">
                  <c:v>44926</c:v>
                </c:pt>
                <c:pt idx="8">
                  <c:v>44957</c:v>
                </c:pt>
                <c:pt idx="9">
                  <c:v>44985</c:v>
                </c:pt>
                <c:pt idx="10">
                  <c:v>45016</c:v>
                </c:pt>
                <c:pt idx="11">
                  <c:v>45046</c:v>
                </c:pt>
                <c:pt idx="12">
                  <c:v>45077</c:v>
                </c:pt>
                <c:pt idx="13">
                  <c:v>45107</c:v>
                </c:pt>
                <c:pt idx="14">
                  <c:v>45138</c:v>
                </c:pt>
                <c:pt idx="15">
                  <c:v>45169</c:v>
                </c:pt>
                <c:pt idx="16">
                  <c:v>45199</c:v>
                </c:pt>
                <c:pt idx="17">
                  <c:v>45230</c:v>
                </c:pt>
                <c:pt idx="18">
                  <c:v>45260</c:v>
                </c:pt>
                <c:pt idx="19">
                  <c:v>45291</c:v>
                </c:pt>
                <c:pt idx="20">
                  <c:v>45322</c:v>
                </c:pt>
                <c:pt idx="21">
                  <c:v>45351</c:v>
                </c:pt>
                <c:pt idx="22">
                  <c:v>45382</c:v>
                </c:pt>
                <c:pt idx="23">
                  <c:v>45412</c:v>
                </c:pt>
                <c:pt idx="24">
                  <c:v>45443</c:v>
                </c:pt>
                <c:pt idx="25">
                  <c:v>45473</c:v>
                </c:pt>
                <c:pt idx="26">
                  <c:v>45504</c:v>
                </c:pt>
                <c:pt idx="27">
                  <c:v>45535</c:v>
                </c:pt>
                <c:pt idx="28">
                  <c:v>45565</c:v>
                </c:pt>
                <c:pt idx="29">
                  <c:v>45596</c:v>
                </c:pt>
                <c:pt idx="30">
                  <c:v>45626</c:v>
                </c:pt>
                <c:pt idx="31">
                  <c:v>45657</c:v>
                </c:pt>
              </c:numCache>
            </c:numRef>
          </c:cat>
          <c:val>
            <c:numRef>
              <c:f>'Exp Smoothing - Orange'!$B$54:$B$77</c:f>
              <c:numCache>
                <c:formatCode>_(* #,##0_);_(* \(#,##0\);_(* "-"??_);_(@_)</c:formatCode>
                <c:ptCount val="24"/>
                <c:pt idx="0" formatCode="#,##0">
                  <c:v>49191</c:v>
                </c:pt>
                <c:pt idx="1">
                  <c:v>32408</c:v>
                </c:pt>
                <c:pt idx="2">
                  <c:v>28554</c:v>
                </c:pt>
                <c:pt idx="3">
                  <c:v>44473</c:v>
                </c:pt>
                <c:pt idx="4">
                  <c:v>42148</c:v>
                </c:pt>
                <c:pt idx="5">
                  <c:v>40341</c:v>
                </c:pt>
                <c:pt idx="6">
                  <c:v>41282</c:v>
                </c:pt>
                <c:pt idx="7">
                  <c:v>40045</c:v>
                </c:pt>
                <c:pt idx="8">
                  <c:v>30805</c:v>
                </c:pt>
                <c:pt idx="9">
                  <c:v>36904</c:v>
                </c:pt>
                <c:pt idx="10">
                  <c:v>47258</c:v>
                </c:pt>
                <c:pt idx="11">
                  <c:v>33977</c:v>
                </c:pt>
                <c:pt idx="12">
                  <c:v>51732</c:v>
                </c:pt>
                <c:pt idx="13">
                  <c:v>42493</c:v>
                </c:pt>
                <c:pt idx="14">
                  <c:v>33368</c:v>
                </c:pt>
                <c:pt idx="15">
                  <c:v>52612</c:v>
                </c:pt>
                <c:pt idx="16">
                  <c:v>52467</c:v>
                </c:pt>
                <c:pt idx="17">
                  <c:v>42235</c:v>
                </c:pt>
                <c:pt idx="18">
                  <c:v>59404</c:v>
                </c:pt>
                <c:pt idx="19">
                  <c:v>52434</c:v>
                </c:pt>
                <c:pt idx="20">
                  <c:v>52855</c:v>
                </c:pt>
                <c:pt idx="21">
                  <c:v>45697</c:v>
                </c:pt>
                <c:pt idx="22" formatCode="_(* #,##0_);_(* \(#,##0\);_(* &quot;-&quot;_);_(@_)">
                  <c:v>42815</c:v>
                </c:pt>
                <c:pt idx="23" formatCode="_(* #,##0_);_(* \(#,##0\);_(* &quot;-&quot;_);_(@_)">
                  <c:v>35800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AA-4838-B91C-81A59D03C35D}"/>
            </c:ext>
          </c:extLst>
        </c:ser>
        <c:ser>
          <c:idx val="1"/>
          <c:order val="1"/>
          <c:tx>
            <c:strRef>
              <c:f>'Exp Smoothing - Orange'!$C$1</c:f>
              <c:strCache>
                <c:ptCount val="1"/>
                <c:pt idx="0">
                  <c:v>forecast</c:v>
                </c:pt>
              </c:strCache>
            </c:strRef>
          </c:tx>
          <c:marker>
            <c:symbol val="none"/>
          </c:marker>
          <c:cat>
            <c:numRef>
              <c:f>'Exp Smoothing - Orange'!$A$54:$A$85</c:f>
              <c:numCache>
                <c:formatCode>m/d/yyyy</c:formatCode>
                <c:ptCount val="32"/>
                <c:pt idx="0">
                  <c:v>44712</c:v>
                </c:pt>
                <c:pt idx="1">
                  <c:v>44742</c:v>
                </c:pt>
                <c:pt idx="2">
                  <c:v>44773</c:v>
                </c:pt>
                <c:pt idx="3">
                  <c:v>44804</c:v>
                </c:pt>
                <c:pt idx="4">
                  <c:v>44834</c:v>
                </c:pt>
                <c:pt idx="5">
                  <c:v>44865</c:v>
                </c:pt>
                <c:pt idx="6">
                  <c:v>44895</c:v>
                </c:pt>
                <c:pt idx="7">
                  <c:v>44926</c:v>
                </c:pt>
                <c:pt idx="8">
                  <c:v>44957</c:v>
                </c:pt>
                <c:pt idx="9">
                  <c:v>44985</c:v>
                </c:pt>
                <c:pt idx="10">
                  <c:v>45016</c:v>
                </c:pt>
                <c:pt idx="11">
                  <c:v>45046</c:v>
                </c:pt>
                <c:pt idx="12">
                  <c:v>45077</c:v>
                </c:pt>
                <c:pt idx="13">
                  <c:v>45107</c:v>
                </c:pt>
                <c:pt idx="14">
                  <c:v>45138</c:v>
                </c:pt>
                <c:pt idx="15">
                  <c:v>45169</c:v>
                </c:pt>
                <c:pt idx="16">
                  <c:v>45199</c:v>
                </c:pt>
                <c:pt idx="17">
                  <c:v>45230</c:v>
                </c:pt>
                <c:pt idx="18">
                  <c:v>45260</c:v>
                </c:pt>
                <c:pt idx="19">
                  <c:v>45291</c:v>
                </c:pt>
                <c:pt idx="20">
                  <c:v>45322</c:v>
                </c:pt>
                <c:pt idx="21">
                  <c:v>45351</c:v>
                </c:pt>
                <c:pt idx="22">
                  <c:v>45382</c:v>
                </c:pt>
                <c:pt idx="23">
                  <c:v>45412</c:v>
                </c:pt>
                <c:pt idx="24">
                  <c:v>45443</c:v>
                </c:pt>
                <c:pt idx="25">
                  <c:v>45473</c:v>
                </c:pt>
                <c:pt idx="26">
                  <c:v>45504</c:v>
                </c:pt>
                <c:pt idx="27">
                  <c:v>45535</c:v>
                </c:pt>
                <c:pt idx="28">
                  <c:v>45565</c:v>
                </c:pt>
                <c:pt idx="29">
                  <c:v>45596</c:v>
                </c:pt>
                <c:pt idx="30">
                  <c:v>45626</c:v>
                </c:pt>
                <c:pt idx="31">
                  <c:v>45657</c:v>
                </c:pt>
              </c:numCache>
            </c:numRef>
          </c:cat>
          <c:val>
            <c:numRef>
              <c:f>'Exp Smoothing - Orange'!$C$54:$C$85</c:f>
              <c:numCache>
                <c:formatCode>_(* #,##0_);_(* \(#,##0\);_(* "-"??_);_(@_)</c:formatCode>
                <c:ptCount val="32"/>
                <c:pt idx="0">
                  <c:v>27387.460417046455</c:v>
                </c:pt>
                <c:pt idx="1">
                  <c:v>42649.938125113935</c:v>
                </c:pt>
                <c:pt idx="2">
                  <c:v>35480.58143753418</c:v>
                </c:pt>
                <c:pt idx="3">
                  <c:v>30631.974431260256</c:v>
                </c:pt>
                <c:pt idx="4">
                  <c:v>40320.692329378078</c:v>
                </c:pt>
                <c:pt idx="5">
                  <c:v>41599.807698813427</c:v>
                </c:pt>
                <c:pt idx="6">
                  <c:v>40718.642309644027</c:v>
                </c:pt>
                <c:pt idx="7">
                  <c:v>41112.992692893211</c:v>
                </c:pt>
                <c:pt idx="8">
                  <c:v>40365.397807867965</c:v>
                </c:pt>
                <c:pt idx="9">
                  <c:v>33673.119342360391</c:v>
                </c:pt>
                <c:pt idx="10">
                  <c:v>35934.735802708121</c:v>
                </c:pt>
                <c:pt idx="11">
                  <c:v>43861.020740812441</c:v>
                </c:pt>
                <c:pt idx="12">
                  <c:v>36942.206222243731</c:v>
                </c:pt>
                <c:pt idx="13">
                  <c:v>36942.206222243731</c:v>
                </c:pt>
                <c:pt idx="14">
                  <c:v>36942.206222243731</c:v>
                </c:pt>
                <c:pt idx="15">
                  <c:v>36942.206222243731</c:v>
                </c:pt>
                <c:pt idx="16">
                  <c:v>36942.206222243731</c:v>
                </c:pt>
                <c:pt idx="17">
                  <c:v>36942.206222243731</c:v>
                </c:pt>
                <c:pt idx="18">
                  <c:v>36942.206222243731</c:v>
                </c:pt>
                <c:pt idx="19">
                  <c:v>36942.206222243731</c:v>
                </c:pt>
                <c:pt idx="20">
                  <c:v>36942.206222243731</c:v>
                </c:pt>
                <c:pt idx="21">
                  <c:v>36942.206222243731</c:v>
                </c:pt>
                <c:pt idx="22">
                  <c:v>36942.206222243731</c:v>
                </c:pt>
                <c:pt idx="23">
                  <c:v>36942.206222243731</c:v>
                </c:pt>
                <c:pt idx="24">
                  <c:v>36942.206222243731</c:v>
                </c:pt>
                <c:pt idx="25">
                  <c:v>36942.206222243731</c:v>
                </c:pt>
                <c:pt idx="26" formatCode="General">
                  <c:v>36942.206222243731</c:v>
                </c:pt>
                <c:pt idx="27" formatCode="General">
                  <c:v>36942.206222243731</c:v>
                </c:pt>
                <c:pt idx="28" formatCode="General">
                  <c:v>36942.206222243731</c:v>
                </c:pt>
                <c:pt idx="29" formatCode="General">
                  <c:v>36942.206222243731</c:v>
                </c:pt>
                <c:pt idx="30" formatCode="General">
                  <c:v>36942.206222243731</c:v>
                </c:pt>
                <c:pt idx="31" formatCode="General">
                  <c:v>36942.206222243731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AA-4838-B91C-81A59D03C3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8585600"/>
        <c:axId val="248591488"/>
      </c:lineChart>
      <c:dateAx>
        <c:axId val="24858560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248591488"/>
        <c:crosses val="autoZero"/>
        <c:auto val="1"/>
        <c:lblOffset val="100"/>
        <c:baseTimeUnit val="months"/>
      </c:dateAx>
      <c:valAx>
        <c:axId val="248591488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24858560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D"/>
              <a:t>SES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 Smoothing - Orange Opt'!$B$1</c:f>
              <c:strCache>
                <c:ptCount val="1"/>
                <c:pt idx="0">
                  <c:v>actual</c:v>
                </c:pt>
              </c:strCache>
            </c:strRef>
          </c:tx>
          <c:marker>
            <c:symbol val="none"/>
          </c:marker>
          <c:cat>
            <c:numRef>
              <c:f>'Exp Smoothing - Orange Opt'!$A$54:$A$85</c:f>
              <c:numCache>
                <c:formatCode>m/d/yyyy</c:formatCode>
                <c:ptCount val="32"/>
                <c:pt idx="0">
                  <c:v>44712</c:v>
                </c:pt>
                <c:pt idx="1">
                  <c:v>44742</c:v>
                </c:pt>
                <c:pt idx="2">
                  <c:v>44773</c:v>
                </c:pt>
                <c:pt idx="3">
                  <c:v>44804</c:v>
                </c:pt>
                <c:pt idx="4">
                  <c:v>44834</c:v>
                </c:pt>
                <c:pt idx="5">
                  <c:v>44865</c:v>
                </c:pt>
                <c:pt idx="6">
                  <c:v>44895</c:v>
                </c:pt>
                <c:pt idx="7">
                  <c:v>44926</c:v>
                </c:pt>
                <c:pt idx="8">
                  <c:v>44957</c:v>
                </c:pt>
                <c:pt idx="9">
                  <c:v>44985</c:v>
                </c:pt>
                <c:pt idx="10">
                  <c:v>45016</c:v>
                </c:pt>
                <c:pt idx="11">
                  <c:v>45046</c:v>
                </c:pt>
                <c:pt idx="12">
                  <c:v>45077</c:v>
                </c:pt>
                <c:pt idx="13">
                  <c:v>45107</c:v>
                </c:pt>
                <c:pt idx="14">
                  <c:v>45138</c:v>
                </c:pt>
                <c:pt idx="15">
                  <c:v>45169</c:v>
                </c:pt>
                <c:pt idx="16">
                  <c:v>45199</c:v>
                </c:pt>
                <c:pt idx="17">
                  <c:v>45230</c:v>
                </c:pt>
                <c:pt idx="18">
                  <c:v>45260</c:v>
                </c:pt>
                <c:pt idx="19">
                  <c:v>45291</c:v>
                </c:pt>
                <c:pt idx="20">
                  <c:v>45322</c:v>
                </c:pt>
                <c:pt idx="21">
                  <c:v>45351</c:v>
                </c:pt>
                <c:pt idx="22">
                  <c:v>45382</c:v>
                </c:pt>
                <c:pt idx="23">
                  <c:v>45412</c:v>
                </c:pt>
                <c:pt idx="24">
                  <c:v>45443</c:v>
                </c:pt>
                <c:pt idx="25">
                  <c:v>45473</c:v>
                </c:pt>
                <c:pt idx="26">
                  <c:v>45504</c:v>
                </c:pt>
                <c:pt idx="27">
                  <c:v>45535</c:v>
                </c:pt>
                <c:pt idx="28">
                  <c:v>45565</c:v>
                </c:pt>
                <c:pt idx="29">
                  <c:v>45596</c:v>
                </c:pt>
                <c:pt idx="30">
                  <c:v>45626</c:v>
                </c:pt>
                <c:pt idx="31">
                  <c:v>45657</c:v>
                </c:pt>
              </c:numCache>
            </c:numRef>
          </c:cat>
          <c:val>
            <c:numRef>
              <c:f>'Exp Smoothing - Orange Opt'!$B$54:$B$77</c:f>
              <c:numCache>
                <c:formatCode>_(* #,##0_);_(* \(#,##0\);_(* "-"??_);_(@_)</c:formatCode>
                <c:ptCount val="24"/>
                <c:pt idx="0" formatCode="#,##0">
                  <c:v>49191</c:v>
                </c:pt>
                <c:pt idx="1">
                  <c:v>32408</c:v>
                </c:pt>
                <c:pt idx="2">
                  <c:v>28554</c:v>
                </c:pt>
                <c:pt idx="3">
                  <c:v>44473</c:v>
                </c:pt>
                <c:pt idx="4">
                  <c:v>42148</c:v>
                </c:pt>
                <c:pt idx="5">
                  <c:v>40341</c:v>
                </c:pt>
                <c:pt idx="6">
                  <c:v>41282</c:v>
                </c:pt>
                <c:pt idx="7">
                  <c:v>40045</c:v>
                </c:pt>
                <c:pt idx="8">
                  <c:v>30805</c:v>
                </c:pt>
                <c:pt idx="9">
                  <c:v>36904</c:v>
                </c:pt>
                <c:pt idx="10">
                  <c:v>47258</c:v>
                </c:pt>
                <c:pt idx="11">
                  <c:v>33977</c:v>
                </c:pt>
                <c:pt idx="12">
                  <c:v>51732</c:v>
                </c:pt>
                <c:pt idx="13">
                  <c:v>42493</c:v>
                </c:pt>
                <c:pt idx="14">
                  <c:v>33368</c:v>
                </c:pt>
                <c:pt idx="15">
                  <c:v>52612</c:v>
                </c:pt>
                <c:pt idx="16">
                  <c:v>52467</c:v>
                </c:pt>
                <c:pt idx="17">
                  <c:v>42235</c:v>
                </c:pt>
                <c:pt idx="18">
                  <c:v>59404</c:v>
                </c:pt>
                <c:pt idx="19">
                  <c:v>52434</c:v>
                </c:pt>
                <c:pt idx="20">
                  <c:v>52855</c:v>
                </c:pt>
                <c:pt idx="21">
                  <c:v>45697</c:v>
                </c:pt>
                <c:pt idx="22" formatCode="_(* #,##0_);_(* \(#,##0\);_(* &quot;-&quot;_);_(@_)">
                  <c:v>42815</c:v>
                </c:pt>
                <c:pt idx="23" formatCode="_(* #,##0_);_(* \(#,##0\);_(* &quot;-&quot;_);_(@_)">
                  <c:v>35800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BF-45B1-9CE1-085E81B00C6C}"/>
            </c:ext>
          </c:extLst>
        </c:ser>
        <c:ser>
          <c:idx val="1"/>
          <c:order val="1"/>
          <c:tx>
            <c:strRef>
              <c:f>'Exp Smoothing - Orange Opt'!$C$1</c:f>
              <c:strCache>
                <c:ptCount val="1"/>
                <c:pt idx="0">
                  <c:v>forecast</c:v>
                </c:pt>
              </c:strCache>
            </c:strRef>
          </c:tx>
          <c:marker>
            <c:symbol val="none"/>
          </c:marker>
          <c:cat>
            <c:numRef>
              <c:f>'Exp Smoothing - Orange Opt'!$A$54:$A$85</c:f>
              <c:numCache>
                <c:formatCode>m/d/yyyy</c:formatCode>
                <c:ptCount val="32"/>
                <c:pt idx="0">
                  <c:v>44712</c:v>
                </c:pt>
                <c:pt idx="1">
                  <c:v>44742</c:v>
                </c:pt>
                <c:pt idx="2">
                  <c:v>44773</c:v>
                </c:pt>
                <c:pt idx="3">
                  <c:v>44804</c:v>
                </c:pt>
                <c:pt idx="4">
                  <c:v>44834</c:v>
                </c:pt>
                <c:pt idx="5">
                  <c:v>44865</c:v>
                </c:pt>
                <c:pt idx="6">
                  <c:v>44895</c:v>
                </c:pt>
                <c:pt idx="7">
                  <c:v>44926</c:v>
                </c:pt>
                <c:pt idx="8">
                  <c:v>44957</c:v>
                </c:pt>
                <c:pt idx="9">
                  <c:v>44985</c:v>
                </c:pt>
                <c:pt idx="10">
                  <c:v>45016</c:v>
                </c:pt>
                <c:pt idx="11">
                  <c:v>45046</c:v>
                </c:pt>
                <c:pt idx="12">
                  <c:v>45077</c:v>
                </c:pt>
                <c:pt idx="13">
                  <c:v>45107</c:v>
                </c:pt>
                <c:pt idx="14">
                  <c:v>45138</c:v>
                </c:pt>
                <c:pt idx="15">
                  <c:v>45169</c:v>
                </c:pt>
                <c:pt idx="16">
                  <c:v>45199</c:v>
                </c:pt>
                <c:pt idx="17">
                  <c:v>45230</c:v>
                </c:pt>
                <c:pt idx="18">
                  <c:v>45260</c:v>
                </c:pt>
                <c:pt idx="19">
                  <c:v>45291</c:v>
                </c:pt>
                <c:pt idx="20">
                  <c:v>45322</c:v>
                </c:pt>
                <c:pt idx="21">
                  <c:v>45351</c:v>
                </c:pt>
                <c:pt idx="22">
                  <c:v>45382</c:v>
                </c:pt>
                <c:pt idx="23">
                  <c:v>45412</c:v>
                </c:pt>
                <c:pt idx="24">
                  <c:v>45443</c:v>
                </c:pt>
                <c:pt idx="25">
                  <c:v>45473</c:v>
                </c:pt>
                <c:pt idx="26">
                  <c:v>45504</c:v>
                </c:pt>
                <c:pt idx="27">
                  <c:v>45535</c:v>
                </c:pt>
                <c:pt idx="28">
                  <c:v>45565</c:v>
                </c:pt>
                <c:pt idx="29">
                  <c:v>45596</c:v>
                </c:pt>
                <c:pt idx="30">
                  <c:v>45626</c:v>
                </c:pt>
                <c:pt idx="31">
                  <c:v>45657</c:v>
                </c:pt>
              </c:numCache>
            </c:numRef>
          </c:cat>
          <c:val>
            <c:numRef>
              <c:f>'Exp Smoothing - Orange Opt'!$C$54:$C$85</c:f>
              <c:numCache>
                <c:formatCode>_(* #,##0_);_(* \(#,##0\);_(* "-"??_);_(@_)</c:formatCode>
                <c:ptCount val="32"/>
                <c:pt idx="0">
                  <c:v>40378.663554117469</c:v>
                </c:pt>
                <c:pt idx="1">
                  <c:v>40445.631454763439</c:v>
                </c:pt>
                <c:pt idx="2">
                  <c:v>40384.550797210584</c:v>
                </c:pt>
                <c:pt idx="3">
                  <c:v>40294.64647328468</c:v>
                </c:pt>
                <c:pt idx="4">
                  <c:v>40326.399183313311</c:v>
                </c:pt>
                <c:pt idx="5">
                  <c:v>40340.242138953698</c:v>
                </c:pt>
                <c:pt idx="6">
                  <c:v>40340.247898194008</c:v>
                </c:pt>
                <c:pt idx="7">
                  <c:v>40347.404588315207</c:v>
                </c:pt>
                <c:pt idx="8">
                  <c:v>40345.106514410574</c:v>
                </c:pt>
                <c:pt idx="9">
                  <c:v>40272.608044892026</c:v>
                </c:pt>
                <c:pt idx="10">
                  <c:v>40247.008862399292</c:v>
                </c:pt>
                <c:pt idx="11">
                  <c:v>40300.287735807717</c:v>
                </c:pt>
                <c:pt idx="12">
                  <c:v>40252.234951231469</c:v>
                </c:pt>
                <c:pt idx="13">
                  <c:v>40252.234951231469</c:v>
                </c:pt>
                <c:pt idx="14">
                  <c:v>40252.234951231469</c:v>
                </c:pt>
                <c:pt idx="15">
                  <c:v>40252.234951231469</c:v>
                </c:pt>
                <c:pt idx="16">
                  <c:v>40252.234951231469</c:v>
                </c:pt>
                <c:pt idx="17">
                  <c:v>40252.234951231469</c:v>
                </c:pt>
                <c:pt idx="18">
                  <c:v>40252.234951231469</c:v>
                </c:pt>
                <c:pt idx="19">
                  <c:v>40252.234951231469</c:v>
                </c:pt>
                <c:pt idx="20">
                  <c:v>40252.234951231469</c:v>
                </c:pt>
                <c:pt idx="21">
                  <c:v>40252.234951231469</c:v>
                </c:pt>
                <c:pt idx="22">
                  <c:v>40252.234951231469</c:v>
                </c:pt>
                <c:pt idx="23">
                  <c:v>40252.234951231469</c:v>
                </c:pt>
                <c:pt idx="24">
                  <c:v>40252.234951231469</c:v>
                </c:pt>
                <c:pt idx="25">
                  <c:v>40252.234951231469</c:v>
                </c:pt>
                <c:pt idx="26" formatCode="General">
                  <c:v>40252.234951231469</c:v>
                </c:pt>
                <c:pt idx="27" formatCode="General">
                  <c:v>40252.234951231469</c:v>
                </c:pt>
                <c:pt idx="28" formatCode="General">
                  <c:v>40252.234951231469</c:v>
                </c:pt>
                <c:pt idx="29" formatCode="General">
                  <c:v>40252.234951231469</c:v>
                </c:pt>
                <c:pt idx="30" formatCode="General">
                  <c:v>40252.234951231469</c:v>
                </c:pt>
                <c:pt idx="31" formatCode="General">
                  <c:v>40252.234951231469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BF-45B1-9CE1-085E81B00C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8585600"/>
        <c:axId val="248591488"/>
      </c:lineChart>
      <c:dateAx>
        <c:axId val="24858560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248591488"/>
        <c:crosses val="autoZero"/>
        <c:auto val="1"/>
        <c:lblOffset val="100"/>
        <c:baseTimeUnit val="months"/>
      </c:dateAx>
      <c:valAx>
        <c:axId val="248591488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24858560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HWES</a:t>
            </a:r>
            <a:r>
              <a:rPr lang="en-GB" baseline="0"/>
              <a:t> (x) - B</a:t>
            </a:r>
            <a:endParaRPr lang="en-GB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'Holt-Winters mlt'!$F$3</c:f>
              <c:strCache>
                <c:ptCount val="1"/>
                <c:pt idx="0">
                  <c:v>actual</c:v>
                </c:pt>
              </c:strCache>
            </c:strRef>
          </c:tx>
          <c:marker>
            <c:symbol val="none"/>
          </c:marker>
          <c:cat>
            <c:numRef>
              <c:f>'Holt-Winters mlt'!$E$56:$E$87</c:f>
              <c:numCache>
                <c:formatCode>m/d/yyyy</c:formatCode>
                <c:ptCount val="32"/>
                <c:pt idx="0">
                  <c:v>44712</c:v>
                </c:pt>
                <c:pt idx="1">
                  <c:v>44742</c:v>
                </c:pt>
                <c:pt idx="2">
                  <c:v>44773</c:v>
                </c:pt>
                <c:pt idx="3">
                  <c:v>44804</c:v>
                </c:pt>
                <c:pt idx="4">
                  <c:v>44834</c:v>
                </c:pt>
                <c:pt idx="5">
                  <c:v>44865</c:v>
                </c:pt>
                <c:pt idx="6">
                  <c:v>44895</c:v>
                </c:pt>
                <c:pt idx="7">
                  <c:v>44926</c:v>
                </c:pt>
                <c:pt idx="8">
                  <c:v>44957</c:v>
                </c:pt>
                <c:pt idx="9">
                  <c:v>44985</c:v>
                </c:pt>
                <c:pt idx="10">
                  <c:v>45016</c:v>
                </c:pt>
                <c:pt idx="11">
                  <c:v>45046</c:v>
                </c:pt>
                <c:pt idx="12">
                  <c:v>45077</c:v>
                </c:pt>
                <c:pt idx="13">
                  <c:v>45107</c:v>
                </c:pt>
                <c:pt idx="14">
                  <c:v>45138</c:v>
                </c:pt>
                <c:pt idx="15">
                  <c:v>45169</c:v>
                </c:pt>
                <c:pt idx="16">
                  <c:v>45199</c:v>
                </c:pt>
                <c:pt idx="17">
                  <c:v>45230</c:v>
                </c:pt>
                <c:pt idx="18">
                  <c:v>45260</c:v>
                </c:pt>
                <c:pt idx="19">
                  <c:v>45291</c:v>
                </c:pt>
                <c:pt idx="20">
                  <c:v>45322</c:v>
                </c:pt>
                <c:pt idx="21">
                  <c:v>45351</c:v>
                </c:pt>
                <c:pt idx="22">
                  <c:v>45382</c:v>
                </c:pt>
                <c:pt idx="23">
                  <c:v>45412</c:v>
                </c:pt>
                <c:pt idx="24">
                  <c:v>45443</c:v>
                </c:pt>
                <c:pt idx="25">
                  <c:v>45473</c:v>
                </c:pt>
                <c:pt idx="26">
                  <c:v>45504</c:v>
                </c:pt>
                <c:pt idx="27">
                  <c:v>45535</c:v>
                </c:pt>
                <c:pt idx="28">
                  <c:v>45565</c:v>
                </c:pt>
                <c:pt idx="29">
                  <c:v>45596</c:v>
                </c:pt>
                <c:pt idx="30">
                  <c:v>45626</c:v>
                </c:pt>
                <c:pt idx="31">
                  <c:v>45657</c:v>
                </c:pt>
              </c:numCache>
            </c:numRef>
          </c:cat>
          <c:val>
            <c:numRef>
              <c:f>'Holt-Winters mlt'!$F$56:$F$79</c:f>
              <c:numCache>
                <c:formatCode>General</c:formatCode>
                <c:ptCount val="24"/>
                <c:pt idx="0">
                  <c:v>49191</c:v>
                </c:pt>
                <c:pt idx="1">
                  <c:v>32408</c:v>
                </c:pt>
                <c:pt idx="2">
                  <c:v>28554</c:v>
                </c:pt>
                <c:pt idx="3">
                  <c:v>44473</c:v>
                </c:pt>
                <c:pt idx="4">
                  <c:v>42148</c:v>
                </c:pt>
                <c:pt idx="5">
                  <c:v>40341</c:v>
                </c:pt>
                <c:pt idx="6">
                  <c:v>41282</c:v>
                </c:pt>
                <c:pt idx="7">
                  <c:v>40045</c:v>
                </c:pt>
                <c:pt idx="8">
                  <c:v>30805</c:v>
                </c:pt>
                <c:pt idx="9">
                  <c:v>36904</c:v>
                </c:pt>
                <c:pt idx="10">
                  <c:v>47258</c:v>
                </c:pt>
                <c:pt idx="11">
                  <c:v>33977</c:v>
                </c:pt>
                <c:pt idx="12">
                  <c:v>51732</c:v>
                </c:pt>
                <c:pt idx="13">
                  <c:v>42493</c:v>
                </c:pt>
                <c:pt idx="14">
                  <c:v>33368</c:v>
                </c:pt>
                <c:pt idx="15">
                  <c:v>52612</c:v>
                </c:pt>
                <c:pt idx="16">
                  <c:v>52467</c:v>
                </c:pt>
                <c:pt idx="17">
                  <c:v>42235</c:v>
                </c:pt>
                <c:pt idx="18">
                  <c:v>59404</c:v>
                </c:pt>
                <c:pt idx="19">
                  <c:v>52434</c:v>
                </c:pt>
                <c:pt idx="20">
                  <c:v>52855</c:v>
                </c:pt>
                <c:pt idx="21">
                  <c:v>45697</c:v>
                </c:pt>
                <c:pt idx="22">
                  <c:v>42815</c:v>
                </c:pt>
                <c:pt idx="23">
                  <c:v>35800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44-4616-A7FA-C69B7CFF7A55}"/>
            </c:ext>
          </c:extLst>
        </c:ser>
        <c:ser>
          <c:idx val="1"/>
          <c:order val="1"/>
          <c:tx>
            <c:strRef>
              <c:f>'Holt-Winters mlt'!$J$3</c:f>
              <c:strCache>
                <c:ptCount val="1"/>
                <c:pt idx="0">
                  <c:v>forecast</c:v>
                </c:pt>
              </c:strCache>
            </c:strRef>
          </c:tx>
          <c:marker>
            <c:symbol val="none"/>
          </c:marker>
          <c:cat>
            <c:numRef>
              <c:f>'Holt-Winters mlt'!$E$56:$E$87</c:f>
              <c:numCache>
                <c:formatCode>m/d/yyyy</c:formatCode>
                <c:ptCount val="32"/>
                <c:pt idx="0">
                  <c:v>44712</c:v>
                </c:pt>
                <c:pt idx="1">
                  <c:v>44742</c:v>
                </c:pt>
                <c:pt idx="2">
                  <c:v>44773</c:v>
                </c:pt>
                <c:pt idx="3">
                  <c:v>44804</c:v>
                </c:pt>
                <c:pt idx="4">
                  <c:v>44834</c:v>
                </c:pt>
                <c:pt idx="5">
                  <c:v>44865</c:v>
                </c:pt>
                <c:pt idx="6">
                  <c:v>44895</c:v>
                </c:pt>
                <c:pt idx="7">
                  <c:v>44926</c:v>
                </c:pt>
                <c:pt idx="8">
                  <c:v>44957</c:v>
                </c:pt>
                <c:pt idx="9">
                  <c:v>44985</c:v>
                </c:pt>
                <c:pt idx="10">
                  <c:v>45016</c:v>
                </c:pt>
                <c:pt idx="11">
                  <c:v>45046</c:v>
                </c:pt>
                <c:pt idx="12">
                  <c:v>45077</c:v>
                </c:pt>
                <c:pt idx="13">
                  <c:v>45107</c:v>
                </c:pt>
                <c:pt idx="14">
                  <c:v>45138</c:v>
                </c:pt>
                <c:pt idx="15">
                  <c:v>45169</c:v>
                </c:pt>
                <c:pt idx="16">
                  <c:v>45199</c:v>
                </c:pt>
                <c:pt idx="17">
                  <c:v>45230</c:v>
                </c:pt>
                <c:pt idx="18">
                  <c:v>45260</c:v>
                </c:pt>
                <c:pt idx="19">
                  <c:v>45291</c:v>
                </c:pt>
                <c:pt idx="20">
                  <c:v>45322</c:v>
                </c:pt>
                <c:pt idx="21">
                  <c:v>45351</c:v>
                </c:pt>
                <c:pt idx="22">
                  <c:v>45382</c:v>
                </c:pt>
                <c:pt idx="23">
                  <c:v>45412</c:v>
                </c:pt>
                <c:pt idx="24">
                  <c:v>45443</c:v>
                </c:pt>
                <c:pt idx="25">
                  <c:v>45473</c:v>
                </c:pt>
                <c:pt idx="26">
                  <c:v>45504</c:v>
                </c:pt>
                <c:pt idx="27">
                  <c:v>45535</c:v>
                </c:pt>
                <c:pt idx="28">
                  <c:v>45565</c:v>
                </c:pt>
                <c:pt idx="29">
                  <c:v>45596</c:v>
                </c:pt>
                <c:pt idx="30">
                  <c:v>45626</c:v>
                </c:pt>
                <c:pt idx="31">
                  <c:v>45657</c:v>
                </c:pt>
              </c:numCache>
            </c:numRef>
          </c:cat>
          <c:val>
            <c:numRef>
              <c:f>'Holt-Winters mlt'!$J$56:$J$87</c:f>
              <c:numCache>
                <c:formatCode>_(* #,##0_);_(* \(#,##0\);_(* "-"_);_(@_)</c:formatCode>
                <c:ptCount val="32"/>
                <c:pt idx="0">
                  <c:v>31933.621503746701</c:v>
                </c:pt>
                <c:pt idx="1">
                  <c:v>28104.87094220136</c:v>
                </c:pt>
                <c:pt idx="2">
                  <c:v>36861.65348393732</c:v>
                </c:pt>
                <c:pt idx="3">
                  <c:v>45781.294272710082</c:v>
                </c:pt>
                <c:pt idx="4">
                  <c:v>42022.269918042082</c:v>
                </c:pt>
                <c:pt idx="5">
                  <c:v>48279.144717191928</c:v>
                </c:pt>
                <c:pt idx="6">
                  <c:v>40945.108966215455</c:v>
                </c:pt>
                <c:pt idx="7">
                  <c:v>48208.90134727976</c:v>
                </c:pt>
                <c:pt idx="8">
                  <c:v>41595.451166165374</c:v>
                </c:pt>
                <c:pt idx="9">
                  <c:v>23348.818484181953</c:v>
                </c:pt>
                <c:pt idx="10">
                  <c:v>36180.25725789836</c:v>
                </c:pt>
                <c:pt idx="11">
                  <c:v>31171.155042883809</c:v>
                </c:pt>
                <c:pt idx="12">
                  <c:v>45621.765841398774</c:v>
                </c:pt>
                <c:pt idx="13">
                  <c:v>32137.325090600105</c:v>
                </c:pt>
                <c:pt idx="14">
                  <c:v>37249.660192623269</c:v>
                </c:pt>
                <c:pt idx="15">
                  <c:v>52419.59275182811</c:v>
                </c:pt>
                <c:pt idx="16">
                  <c:v>49064.783595278837</c:v>
                </c:pt>
                <c:pt idx="17">
                  <c:v>54677.343484126701</c:v>
                </c:pt>
                <c:pt idx="18">
                  <c:v>51174.986550513131</c:v>
                </c:pt>
                <c:pt idx="19">
                  <c:v>58353.900354500031</c:v>
                </c:pt>
                <c:pt idx="20">
                  <c:v>52854.715953524661</c:v>
                </c:pt>
                <c:pt idx="21">
                  <c:v>37940.595041459026</c:v>
                </c:pt>
                <c:pt idx="22">
                  <c:v>47493.58265368874</c:v>
                </c:pt>
                <c:pt idx="23">
                  <c:v>35800.001604917503</c:v>
                </c:pt>
                <c:pt idx="24">
                  <c:v>49981.44431353375</c:v>
                </c:pt>
                <c:pt idx="25">
                  <c:v>35184.148703041865</c:v>
                </c:pt>
                <c:pt idx="26">
                  <c:v>40753.483744167985</c:v>
                </c:pt>
                <c:pt idx="27">
                  <c:v>57311.999604428187</c:v>
                </c:pt>
                <c:pt idx="28">
                  <c:v>53608.739349660165</c:v>
                </c:pt>
                <c:pt idx="29">
                  <c:v>59702.305269164513</c:v>
                </c:pt>
                <c:pt idx="30">
                  <c:v>55842.329557395584</c:v>
                </c:pt>
                <c:pt idx="31">
                  <c:v>63635.841805251679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44-4616-A7FA-C69B7CFF7A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4757992"/>
        <c:axId val="494768576"/>
      </c:lineChart>
      <c:dateAx>
        <c:axId val="49475799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494768576"/>
        <c:crosses val="autoZero"/>
        <c:auto val="1"/>
        <c:lblOffset val="100"/>
        <c:baseTimeUnit val="months"/>
      </c:dateAx>
      <c:valAx>
        <c:axId val="494768576"/>
        <c:scaling>
          <c:orientation val="minMax"/>
          <c:max val="700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9475799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HWES</a:t>
            </a:r>
            <a:r>
              <a:rPr lang="en-GB" baseline="0"/>
              <a:t> (+) - A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'Holt-Winters add'!$F$3</c:f>
              <c:strCache>
                <c:ptCount val="1"/>
                <c:pt idx="0">
                  <c:v>actual</c:v>
                </c:pt>
              </c:strCache>
            </c:strRef>
          </c:tx>
          <c:marker>
            <c:symbol val="none"/>
          </c:marker>
          <c:cat>
            <c:numRef>
              <c:f>'Holt-Winters add'!$E$56:$E$87</c:f>
              <c:numCache>
                <c:formatCode>m/d/yyyy</c:formatCode>
                <c:ptCount val="32"/>
                <c:pt idx="0">
                  <c:v>44712</c:v>
                </c:pt>
                <c:pt idx="1">
                  <c:v>44742</c:v>
                </c:pt>
                <c:pt idx="2">
                  <c:v>44773</c:v>
                </c:pt>
                <c:pt idx="3">
                  <c:v>44804</c:v>
                </c:pt>
                <c:pt idx="4">
                  <c:v>44834</c:v>
                </c:pt>
                <c:pt idx="5">
                  <c:v>44865</c:v>
                </c:pt>
                <c:pt idx="6">
                  <c:v>44895</c:v>
                </c:pt>
                <c:pt idx="7">
                  <c:v>44926</c:v>
                </c:pt>
                <c:pt idx="8">
                  <c:v>44957</c:v>
                </c:pt>
                <c:pt idx="9">
                  <c:v>44985</c:v>
                </c:pt>
                <c:pt idx="10">
                  <c:v>45016</c:v>
                </c:pt>
                <c:pt idx="11">
                  <c:v>45046</c:v>
                </c:pt>
                <c:pt idx="12">
                  <c:v>45077</c:v>
                </c:pt>
                <c:pt idx="13">
                  <c:v>45107</c:v>
                </c:pt>
                <c:pt idx="14">
                  <c:v>45138</c:v>
                </c:pt>
                <c:pt idx="15">
                  <c:v>45169</c:v>
                </c:pt>
                <c:pt idx="16">
                  <c:v>45199</c:v>
                </c:pt>
                <c:pt idx="17">
                  <c:v>45230</c:v>
                </c:pt>
                <c:pt idx="18">
                  <c:v>45260</c:v>
                </c:pt>
                <c:pt idx="19">
                  <c:v>45291</c:v>
                </c:pt>
                <c:pt idx="20">
                  <c:v>45322</c:v>
                </c:pt>
                <c:pt idx="21">
                  <c:v>45351</c:v>
                </c:pt>
                <c:pt idx="22">
                  <c:v>45382</c:v>
                </c:pt>
                <c:pt idx="23">
                  <c:v>45412</c:v>
                </c:pt>
                <c:pt idx="24">
                  <c:v>45443</c:v>
                </c:pt>
                <c:pt idx="25">
                  <c:v>45473</c:v>
                </c:pt>
                <c:pt idx="26">
                  <c:v>45504</c:v>
                </c:pt>
                <c:pt idx="27">
                  <c:v>45535</c:v>
                </c:pt>
                <c:pt idx="28">
                  <c:v>45565</c:v>
                </c:pt>
                <c:pt idx="29">
                  <c:v>45596</c:v>
                </c:pt>
                <c:pt idx="30">
                  <c:v>45626</c:v>
                </c:pt>
                <c:pt idx="31">
                  <c:v>45657</c:v>
                </c:pt>
              </c:numCache>
            </c:numRef>
          </c:cat>
          <c:val>
            <c:numRef>
              <c:f>'Holt-Winters add'!$F$56:$F$79</c:f>
              <c:numCache>
                <c:formatCode>_(* #,##0_);_(* \(#,##0\);_(* "-"_);_(@_)</c:formatCode>
                <c:ptCount val="24"/>
                <c:pt idx="0">
                  <c:v>49191</c:v>
                </c:pt>
                <c:pt idx="1">
                  <c:v>32408</c:v>
                </c:pt>
                <c:pt idx="2">
                  <c:v>28554</c:v>
                </c:pt>
                <c:pt idx="3">
                  <c:v>44473</c:v>
                </c:pt>
                <c:pt idx="4">
                  <c:v>42148</c:v>
                </c:pt>
                <c:pt idx="5">
                  <c:v>40341</c:v>
                </c:pt>
                <c:pt idx="6">
                  <c:v>41282</c:v>
                </c:pt>
                <c:pt idx="7">
                  <c:v>40045</c:v>
                </c:pt>
                <c:pt idx="8">
                  <c:v>30805</c:v>
                </c:pt>
                <c:pt idx="9">
                  <c:v>36904</c:v>
                </c:pt>
                <c:pt idx="10">
                  <c:v>47258</c:v>
                </c:pt>
                <c:pt idx="11">
                  <c:v>33977</c:v>
                </c:pt>
                <c:pt idx="12">
                  <c:v>51732</c:v>
                </c:pt>
                <c:pt idx="13">
                  <c:v>42493</c:v>
                </c:pt>
                <c:pt idx="14">
                  <c:v>33368</c:v>
                </c:pt>
                <c:pt idx="15">
                  <c:v>52612</c:v>
                </c:pt>
                <c:pt idx="16">
                  <c:v>52467</c:v>
                </c:pt>
                <c:pt idx="17">
                  <c:v>42235</c:v>
                </c:pt>
                <c:pt idx="18">
                  <c:v>59404</c:v>
                </c:pt>
                <c:pt idx="19">
                  <c:v>52434</c:v>
                </c:pt>
                <c:pt idx="20">
                  <c:v>52855</c:v>
                </c:pt>
                <c:pt idx="21">
                  <c:v>45697</c:v>
                </c:pt>
                <c:pt idx="22">
                  <c:v>42815</c:v>
                </c:pt>
                <c:pt idx="23">
                  <c:v>35800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B5-472D-8A8E-D01AABC1D254}"/>
            </c:ext>
          </c:extLst>
        </c:ser>
        <c:ser>
          <c:idx val="1"/>
          <c:order val="1"/>
          <c:tx>
            <c:strRef>
              <c:f>'Holt-Winters add'!$J$3</c:f>
              <c:strCache>
                <c:ptCount val="1"/>
                <c:pt idx="0">
                  <c:v>forecast</c:v>
                </c:pt>
              </c:strCache>
            </c:strRef>
          </c:tx>
          <c:marker>
            <c:symbol val="none"/>
          </c:marker>
          <c:cat>
            <c:numRef>
              <c:f>'Holt-Winters add'!$E$56:$E$87</c:f>
              <c:numCache>
                <c:formatCode>m/d/yyyy</c:formatCode>
                <c:ptCount val="32"/>
                <c:pt idx="0">
                  <c:v>44712</c:v>
                </c:pt>
                <c:pt idx="1">
                  <c:v>44742</c:v>
                </c:pt>
                <c:pt idx="2">
                  <c:v>44773</c:v>
                </c:pt>
                <c:pt idx="3">
                  <c:v>44804</c:v>
                </c:pt>
                <c:pt idx="4">
                  <c:v>44834</c:v>
                </c:pt>
                <c:pt idx="5">
                  <c:v>44865</c:v>
                </c:pt>
                <c:pt idx="6">
                  <c:v>44895</c:v>
                </c:pt>
                <c:pt idx="7">
                  <c:v>44926</c:v>
                </c:pt>
                <c:pt idx="8">
                  <c:v>44957</c:v>
                </c:pt>
                <c:pt idx="9">
                  <c:v>44985</c:v>
                </c:pt>
                <c:pt idx="10">
                  <c:v>45016</c:v>
                </c:pt>
                <c:pt idx="11">
                  <c:v>45046</c:v>
                </c:pt>
                <c:pt idx="12">
                  <c:v>45077</c:v>
                </c:pt>
                <c:pt idx="13">
                  <c:v>45107</c:v>
                </c:pt>
                <c:pt idx="14">
                  <c:v>45138</c:v>
                </c:pt>
                <c:pt idx="15">
                  <c:v>45169</c:v>
                </c:pt>
                <c:pt idx="16">
                  <c:v>45199</c:v>
                </c:pt>
                <c:pt idx="17">
                  <c:v>45230</c:v>
                </c:pt>
                <c:pt idx="18">
                  <c:v>45260</c:v>
                </c:pt>
                <c:pt idx="19">
                  <c:v>45291</c:v>
                </c:pt>
                <c:pt idx="20">
                  <c:v>45322</c:v>
                </c:pt>
                <c:pt idx="21">
                  <c:v>45351</c:v>
                </c:pt>
                <c:pt idx="22">
                  <c:v>45382</c:v>
                </c:pt>
                <c:pt idx="23">
                  <c:v>45412</c:v>
                </c:pt>
                <c:pt idx="24">
                  <c:v>45443</c:v>
                </c:pt>
                <c:pt idx="25">
                  <c:v>45473</c:v>
                </c:pt>
                <c:pt idx="26">
                  <c:v>45504</c:v>
                </c:pt>
                <c:pt idx="27">
                  <c:v>45535</c:v>
                </c:pt>
                <c:pt idx="28">
                  <c:v>45565</c:v>
                </c:pt>
                <c:pt idx="29">
                  <c:v>45596</c:v>
                </c:pt>
                <c:pt idx="30">
                  <c:v>45626</c:v>
                </c:pt>
                <c:pt idx="31">
                  <c:v>45657</c:v>
                </c:pt>
              </c:numCache>
            </c:numRef>
          </c:cat>
          <c:val>
            <c:numRef>
              <c:f>'Holt-Winters add'!$J$56:$J$87</c:f>
              <c:numCache>
                <c:formatCode>_(* #,##0.00_);_(* \(#,##0.00\);_(* "-"??_);_(@_)</c:formatCode>
                <c:ptCount val="32"/>
                <c:pt idx="0">
                  <c:v>42908.822199667302</c:v>
                </c:pt>
                <c:pt idx="1">
                  <c:v>25182.153931906425</c:v>
                </c:pt>
                <c:pt idx="2">
                  <c:v>35440.606533872138</c:v>
                </c:pt>
                <c:pt idx="3">
                  <c:v>51270.893175730809</c:v>
                </c:pt>
                <c:pt idx="4">
                  <c:v>40506.502522845054</c:v>
                </c:pt>
                <c:pt idx="5">
                  <c:v>49501.791869521505</c:v>
                </c:pt>
                <c:pt idx="6">
                  <c:v>33829.458967219274</c:v>
                </c:pt>
                <c:pt idx="7">
                  <c:v>46590.997668951823</c:v>
                </c:pt>
                <c:pt idx="8">
                  <c:v>39368.219192930679</c:v>
                </c:pt>
                <c:pt idx="9">
                  <c:v>28250.984735742546</c:v>
                </c:pt>
                <c:pt idx="10">
                  <c:v>41015.031660261215</c:v>
                </c:pt>
                <c:pt idx="11">
                  <c:v>33977.026295840129</c:v>
                </c:pt>
                <c:pt idx="12">
                  <c:v>53152.644972427333</c:v>
                </c:pt>
                <c:pt idx="13">
                  <c:v>34702.859061414172</c:v>
                </c:pt>
                <c:pt idx="14">
                  <c:v>42841.041736625673</c:v>
                </c:pt>
                <c:pt idx="15">
                  <c:v>58665.217262096041</c:v>
                </c:pt>
                <c:pt idx="16">
                  <c:v>48800.104430632295</c:v>
                </c:pt>
                <c:pt idx="17">
                  <c:v>56930.664415657076</c:v>
                </c:pt>
                <c:pt idx="18">
                  <c:v>43242.421807936757</c:v>
                </c:pt>
                <c:pt idx="19">
                  <c:v>54700.746517062842</c:v>
                </c:pt>
                <c:pt idx="20">
                  <c:v>48127.846408071127</c:v>
                </c:pt>
                <c:pt idx="21">
                  <c:v>39453.927330707113</c:v>
                </c:pt>
                <c:pt idx="22">
                  <c:v>51928.293311210808</c:v>
                </c:pt>
                <c:pt idx="23">
                  <c:v>44139.901418281021</c:v>
                </c:pt>
                <c:pt idx="24">
                  <c:v>63315.523255537955</c:v>
                </c:pt>
                <c:pt idx="25">
                  <c:v>44865.737344524794</c:v>
                </c:pt>
                <c:pt idx="26">
                  <c:v>53003.920019736295</c:v>
                </c:pt>
                <c:pt idx="27">
                  <c:v>68828.095545206656</c:v>
                </c:pt>
                <c:pt idx="28">
                  <c:v>58962.982713742917</c:v>
                </c:pt>
                <c:pt idx="29">
                  <c:v>67093.542698767706</c:v>
                </c:pt>
                <c:pt idx="30">
                  <c:v>53405.300091047378</c:v>
                </c:pt>
                <c:pt idx="31">
                  <c:v>64863.624800173464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B5-472D-8A8E-D01AABC1D2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4762304"/>
        <c:axId val="494759952"/>
      </c:lineChart>
      <c:dateAx>
        <c:axId val="49476230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494759952"/>
        <c:crosses val="autoZero"/>
        <c:auto val="1"/>
        <c:lblOffset val="100"/>
        <c:baseTimeUnit val="months"/>
      </c:dateAx>
      <c:valAx>
        <c:axId val="494759952"/>
        <c:scaling>
          <c:orientation val="minMax"/>
          <c:max val="70000"/>
        </c:scaling>
        <c:delete val="0"/>
        <c:axPos val="l"/>
        <c:majorGridlines/>
        <c:numFmt formatCode="_(* #,##0_);_(* \(#,##0\);_(* &quot;-&quot;_);_(@_)" sourceLinked="1"/>
        <c:majorTickMark val="out"/>
        <c:minorTickMark val="none"/>
        <c:tickLblPos val="nextTo"/>
        <c:crossAx val="49476230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ID" sz="1800"/>
              <a:t>ARIMA -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ARIMA!$B$1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ARIMA!$A$54:$A$85</c:f>
              <c:numCache>
                <c:formatCode>m/d/yyyy</c:formatCode>
                <c:ptCount val="32"/>
                <c:pt idx="0">
                  <c:v>44712</c:v>
                </c:pt>
                <c:pt idx="1">
                  <c:v>44742</c:v>
                </c:pt>
                <c:pt idx="2">
                  <c:v>44773</c:v>
                </c:pt>
                <c:pt idx="3">
                  <c:v>44804</c:v>
                </c:pt>
                <c:pt idx="4">
                  <c:v>44834</c:v>
                </c:pt>
                <c:pt idx="5">
                  <c:v>44865</c:v>
                </c:pt>
                <c:pt idx="6">
                  <c:v>44895</c:v>
                </c:pt>
                <c:pt idx="7">
                  <c:v>44926</c:v>
                </c:pt>
                <c:pt idx="8">
                  <c:v>44957</c:v>
                </c:pt>
                <c:pt idx="9">
                  <c:v>44985</c:v>
                </c:pt>
                <c:pt idx="10">
                  <c:v>45016</c:v>
                </c:pt>
                <c:pt idx="11">
                  <c:v>45046</c:v>
                </c:pt>
                <c:pt idx="12">
                  <c:v>45077</c:v>
                </c:pt>
                <c:pt idx="13">
                  <c:v>45107</c:v>
                </c:pt>
                <c:pt idx="14">
                  <c:v>45138</c:v>
                </c:pt>
                <c:pt idx="15">
                  <c:v>45169</c:v>
                </c:pt>
                <c:pt idx="16">
                  <c:v>45199</c:v>
                </c:pt>
                <c:pt idx="17">
                  <c:v>45230</c:v>
                </c:pt>
                <c:pt idx="18">
                  <c:v>45260</c:v>
                </c:pt>
                <c:pt idx="19">
                  <c:v>45291</c:v>
                </c:pt>
                <c:pt idx="20">
                  <c:v>45322</c:v>
                </c:pt>
                <c:pt idx="21">
                  <c:v>45351</c:v>
                </c:pt>
                <c:pt idx="22">
                  <c:v>45382</c:v>
                </c:pt>
                <c:pt idx="23">
                  <c:v>45412</c:v>
                </c:pt>
                <c:pt idx="24">
                  <c:v>45443</c:v>
                </c:pt>
                <c:pt idx="25">
                  <c:v>45473</c:v>
                </c:pt>
                <c:pt idx="26">
                  <c:v>45504</c:v>
                </c:pt>
                <c:pt idx="27">
                  <c:v>45535</c:v>
                </c:pt>
                <c:pt idx="28">
                  <c:v>45565</c:v>
                </c:pt>
                <c:pt idx="29">
                  <c:v>45596</c:v>
                </c:pt>
                <c:pt idx="30">
                  <c:v>45626</c:v>
                </c:pt>
                <c:pt idx="31">
                  <c:v>45657</c:v>
                </c:pt>
              </c:numCache>
            </c:numRef>
          </c:cat>
          <c:val>
            <c:numRef>
              <c:f>ARIMA!$B$54:$B$85</c:f>
              <c:numCache>
                <c:formatCode>General</c:formatCode>
                <c:ptCount val="32"/>
                <c:pt idx="0">
                  <c:v>49191</c:v>
                </c:pt>
                <c:pt idx="1">
                  <c:v>32408</c:v>
                </c:pt>
                <c:pt idx="2">
                  <c:v>28554</c:v>
                </c:pt>
                <c:pt idx="3">
                  <c:v>44473</c:v>
                </c:pt>
                <c:pt idx="4">
                  <c:v>42148</c:v>
                </c:pt>
                <c:pt idx="5">
                  <c:v>40341</c:v>
                </c:pt>
                <c:pt idx="6">
                  <c:v>41282</c:v>
                </c:pt>
                <c:pt idx="7">
                  <c:v>40045</c:v>
                </c:pt>
                <c:pt idx="8">
                  <c:v>30805</c:v>
                </c:pt>
                <c:pt idx="9">
                  <c:v>36904</c:v>
                </c:pt>
                <c:pt idx="10">
                  <c:v>47258</c:v>
                </c:pt>
                <c:pt idx="11">
                  <c:v>33977</c:v>
                </c:pt>
                <c:pt idx="12">
                  <c:v>51732</c:v>
                </c:pt>
                <c:pt idx="13">
                  <c:v>42493</c:v>
                </c:pt>
                <c:pt idx="14">
                  <c:v>33368</c:v>
                </c:pt>
                <c:pt idx="15">
                  <c:v>52612</c:v>
                </c:pt>
                <c:pt idx="16">
                  <c:v>52467</c:v>
                </c:pt>
                <c:pt idx="17">
                  <c:v>42235</c:v>
                </c:pt>
                <c:pt idx="18">
                  <c:v>59404</c:v>
                </c:pt>
                <c:pt idx="19">
                  <c:v>52434</c:v>
                </c:pt>
                <c:pt idx="20">
                  <c:v>52855</c:v>
                </c:pt>
                <c:pt idx="21">
                  <c:v>45697</c:v>
                </c:pt>
                <c:pt idx="22">
                  <c:v>42815</c:v>
                </c:pt>
                <c:pt idx="23">
                  <c:v>35800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57-4E25-85E2-9A5A9E057027}"/>
            </c:ext>
          </c:extLst>
        </c:ser>
        <c:ser>
          <c:idx val="1"/>
          <c:order val="1"/>
          <c:tx>
            <c:strRef>
              <c:f>ARIMA!$C$1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ARIMA!$A$54:$A$85</c:f>
              <c:numCache>
                <c:formatCode>m/d/yyyy</c:formatCode>
                <c:ptCount val="32"/>
                <c:pt idx="0">
                  <c:v>44712</c:v>
                </c:pt>
                <c:pt idx="1">
                  <c:v>44742</c:v>
                </c:pt>
                <c:pt idx="2">
                  <c:v>44773</c:v>
                </c:pt>
                <c:pt idx="3">
                  <c:v>44804</c:v>
                </c:pt>
                <c:pt idx="4">
                  <c:v>44834</c:v>
                </c:pt>
                <c:pt idx="5">
                  <c:v>44865</c:v>
                </c:pt>
                <c:pt idx="6">
                  <c:v>44895</c:v>
                </c:pt>
                <c:pt idx="7">
                  <c:v>44926</c:v>
                </c:pt>
                <c:pt idx="8">
                  <c:v>44957</c:v>
                </c:pt>
                <c:pt idx="9">
                  <c:v>44985</c:v>
                </c:pt>
                <c:pt idx="10">
                  <c:v>45016</c:v>
                </c:pt>
                <c:pt idx="11">
                  <c:v>45046</c:v>
                </c:pt>
                <c:pt idx="12">
                  <c:v>45077</c:v>
                </c:pt>
                <c:pt idx="13">
                  <c:v>45107</c:v>
                </c:pt>
                <c:pt idx="14">
                  <c:v>45138</c:v>
                </c:pt>
                <c:pt idx="15">
                  <c:v>45169</c:v>
                </c:pt>
                <c:pt idx="16">
                  <c:v>45199</c:v>
                </c:pt>
                <c:pt idx="17">
                  <c:v>45230</c:v>
                </c:pt>
                <c:pt idx="18">
                  <c:v>45260</c:v>
                </c:pt>
                <c:pt idx="19">
                  <c:v>45291</c:v>
                </c:pt>
                <c:pt idx="20">
                  <c:v>45322</c:v>
                </c:pt>
                <c:pt idx="21">
                  <c:v>45351</c:v>
                </c:pt>
                <c:pt idx="22">
                  <c:v>45382</c:v>
                </c:pt>
                <c:pt idx="23">
                  <c:v>45412</c:v>
                </c:pt>
                <c:pt idx="24">
                  <c:v>45443</c:v>
                </c:pt>
                <c:pt idx="25">
                  <c:v>45473</c:v>
                </c:pt>
                <c:pt idx="26">
                  <c:v>45504</c:v>
                </c:pt>
                <c:pt idx="27">
                  <c:v>45535</c:v>
                </c:pt>
                <c:pt idx="28">
                  <c:v>45565</c:v>
                </c:pt>
                <c:pt idx="29">
                  <c:v>45596</c:v>
                </c:pt>
                <c:pt idx="30">
                  <c:v>45626</c:v>
                </c:pt>
                <c:pt idx="31">
                  <c:v>45657</c:v>
                </c:pt>
              </c:numCache>
            </c:numRef>
          </c:cat>
          <c:val>
            <c:numRef>
              <c:f>ARIMA!$C$54:$C$85</c:f>
              <c:numCache>
                <c:formatCode>General</c:formatCode>
                <c:ptCount val="32"/>
                <c:pt idx="0">
                  <c:v>51932.071205927197</c:v>
                </c:pt>
                <c:pt idx="1">
                  <c:v>53412.974122150299</c:v>
                </c:pt>
                <c:pt idx="2">
                  <c:v>53754.3763616094</c:v>
                </c:pt>
                <c:pt idx="3">
                  <c:v>52922.729263508598</c:v>
                </c:pt>
                <c:pt idx="4">
                  <c:v>51053.892336097299</c:v>
                </c:pt>
                <c:pt idx="5">
                  <c:v>48431.243647845797</c:v>
                </c:pt>
                <c:pt idx="6">
                  <c:v>45442.843972802497</c:v>
                </c:pt>
                <c:pt idx="7">
                  <c:v>42524.111275246898</c:v>
                </c:pt>
                <c:pt idx="8">
                  <c:v>40094.460474614898</c:v>
                </c:pt>
                <c:pt idx="9">
                  <c:v>38497.116669991199</c:v>
                </c:pt>
                <c:pt idx="10">
                  <c:v>37950.726708896502</c:v>
                </c:pt>
                <c:pt idx="11">
                  <c:v>38519.576489453</c:v>
                </c:pt>
                <c:pt idx="12">
                  <c:v>45520.797509362797</c:v>
                </c:pt>
                <c:pt idx="13">
                  <c:v>46738.303025027701</c:v>
                </c:pt>
                <c:pt idx="14">
                  <c:v>52299.203650923999</c:v>
                </c:pt>
                <c:pt idx="15">
                  <c:v>54821.0541607372</c:v>
                </c:pt>
                <c:pt idx="16">
                  <c:v>56875.257128046898</c:v>
                </c:pt>
                <c:pt idx="17">
                  <c:v>56889.147481553497</c:v>
                </c:pt>
                <c:pt idx="18">
                  <c:v>55457.891447672999</c:v>
                </c:pt>
                <c:pt idx="19">
                  <c:v>52554.960326986198</c:v>
                </c:pt>
                <c:pt idx="20">
                  <c:v>48730.6147064877</c:v>
                </c:pt>
                <c:pt idx="21">
                  <c:v>44498.611728955897</c:v>
                </c:pt>
                <c:pt idx="22">
                  <c:v>40496.088123982001</c:v>
                </c:pt>
                <c:pt idx="23">
                  <c:v>37286.586905914497</c:v>
                </c:pt>
                <c:pt idx="24">
                  <c:v>35325.819543877798</c:v>
                </c:pt>
                <c:pt idx="25">
                  <c:v>34877.142967002699</c:v>
                </c:pt>
                <c:pt idx="26">
                  <c:v>35985.301052025199</c:v>
                </c:pt>
                <c:pt idx="27">
                  <c:v>38468.970057668899</c:v>
                </c:pt>
                <c:pt idx="28">
                  <c:v>41951.750512569299</c:v>
                </c:pt>
                <c:pt idx="29">
                  <c:v>45918.263977210197</c:v>
                </c:pt>
                <c:pt idx="30">
                  <c:v>49790.635378521802</c:v>
                </c:pt>
                <c:pt idx="31">
                  <c:v>53012.4230262614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57-4E25-85E2-9A5A9E0570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5739855"/>
        <c:axId val="305736975"/>
      </c:lineChart>
      <c:dateAx>
        <c:axId val="30573985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736975"/>
        <c:crosses val="autoZero"/>
        <c:auto val="1"/>
        <c:lblOffset val="100"/>
        <c:baseTimeUnit val="months"/>
      </c:dateAx>
      <c:valAx>
        <c:axId val="305736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shade val="95000"/>
                  <a:satMod val="10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739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905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one_third!$B$11</c:f>
              <c:strCache>
                <c:ptCount val="1"/>
                <c:pt idx="0">
                  <c:v>Aug-23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one_third!$A$12:$A$14</c:f>
              <c:strCache>
                <c:ptCount val="3"/>
                <c:pt idx="0">
                  <c:v>1 (1-11)</c:v>
                </c:pt>
                <c:pt idx="1">
                  <c:v>2 (12-21)</c:v>
                </c:pt>
                <c:pt idx="2">
                  <c:v>3 (22-31)</c:v>
                </c:pt>
              </c:strCache>
            </c:strRef>
          </c:cat>
          <c:val>
            <c:numRef>
              <c:f>one_third!$B$12:$B$14</c:f>
              <c:numCache>
                <c:formatCode>0.00%</c:formatCode>
                <c:ptCount val="3"/>
                <c:pt idx="0">
                  <c:v>0.33710940469854783</c:v>
                </c:pt>
                <c:pt idx="1">
                  <c:v>0.28866038166197827</c:v>
                </c:pt>
                <c:pt idx="2">
                  <c:v>0.3742302136394739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E8-4E17-BF2D-224B46A75021}"/>
            </c:ext>
          </c:extLst>
        </c:ser>
        <c:ser>
          <c:idx val="1"/>
          <c:order val="1"/>
          <c:tx>
            <c:strRef>
              <c:f>one_third!$C$11</c:f>
              <c:strCache>
                <c:ptCount val="1"/>
                <c:pt idx="0">
                  <c:v>Sep-23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one_third!$A$12:$A$14</c:f>
              <c:strCache>
                <c:ptCount val="3"/>
                <c:pt idx="0">
                  <c:v>1 (1-11)</c:v>
                </c:pt>
                <c:pt idx="1">
                  <c:v>2 (12-21)</c:v>
                </c:pt>
                <c:pt idx="2">
                  <c:v>3 (22-31)</c:v>
                </c:pt>
              </c:strCache>
            </c:strRef>
          </c:cat>
          <c:val>
            <c:numRef>
              <c:f>one_third!$C$12:$C$14</c:f>
              <c:numCache>
                <c:formatCode>0.00%</c:formatCode>
                <c:ptCount val="3"/>
                <c:pt idx="0">
                  <c:v>0.29189776430899422</c:v>
                </c:pt>
                <c:pt idx="1">
                  <c:v>0.49320525282558558</c:v>
                </c:pt>
                <c:pt idx="2">
                  <c:v>0.21489698286542017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E8-4E17-BF2D-224B46A75021}"/>
            </c:ext>
          </c:extLst>
        </c:ser>
        <c:ser>
          <c:idx val="2"/>
          <c:order val="2"/>
          <c:tx>
            <c:strRef>
              <c:f>one_third!$D$11</c:f>
              <c:strCache>
                <c:ptCount val="1"/>
                <c:pt idx="0">
                  <c:v>Oct-23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one_third!$A$12:$A$14</c:f>
              <c:strCache>
                <c:ptCount val="3"/>
                <c:pt idx="0">
                  <c:v>1 (1-11)</c:v>
                </c:pt>
                <c:pt idx="1">
                  <c:v>2 (12-21)</c:v>
                </c:pt>
                <c:pt idx="2">
                  <c:v>3 (22-31)</c:v>
                </c:pt>
              </c:strCache>
            </c:strRef>
          </c:cat>
          <c:val>
            <c:numRef>
              <c:f>one_third!$D$12:$D$14</c:f>
              <c:numCache>
                <c:formatCode>0.00%</c:formatCode>
                <c:ptCount val="3"/>
                <c:pt idx="0">
                  <c:v>0.53498283414229908</c:v>
                </c:pt>
                <c:pt idx="1">
                  <c:v>0.14192020835799693</c:v>
                </c:pt>
                <c:pt idx="2">
                  <c:v>0.32309695749970402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E8-4E17-BF2D-224B46A75021}"/>
            </c:ext>
          </c:extLst>
        </c:ser>
        <c:ser>
          <c:idx val="3"/>
          <c:order val="3"/>
          <c:tx>
            <c:strRef>
              <c:f>one_third!$E$11</c:f>
              <c:strCache>
                <c:ptCount val="1"/>
                <c:pt idx="0">
                  <c:v>Nov-23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one_third!$A$12:$A$14</c:f>
              <c:strCache>
                <c:ptCount val="3"/>
                <c:pt idx="0">
                  <c:v>1 (1-11)</c:v>
                </c:pt>
                <c:pt idx="1">
                  <c:v>2 (12-21)</c:v>
                </c:pt>
                <c:pt idx="2">
                  <c:v>3 (22-31)</c:v>
                </c:pt>
              </c:strCache>
            </c:strRef>
          </c:cat>
          <c:val>
            <c:numRef>
              <c:f>one_third!$E$12:$E$14</c:f>
              <c:numCache>
                <c:formatCode>0.00%</c:formatCode>
                <c:ptCount val="3"/>
                <c:pt idx="0">
                  <c:v>0.37436872937849303</c:v>
                </c:pt>
                <c:pt idx="1">
                  <c:v>0.3250454514847485</c:v>
                </c:pt>
                <c:pt idx="2">
                  <c:v>0.30058581913675847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4E8-4E17-BF2D-224B46A75021}"/>
            </c:ext>
          </c:extLst>
        </c:ser>
        <c:ser>
          <c:idx val="4"/>
          <c:order val="4"/>
          <c:tx>
            <c:strRef>
              <c:f>one_third!$F$11</c:f>
              <c:strCache>
                <c:ptCount val="1"/>
                <c:pt idx="0">
                  <c:v>Dec-23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one_third!$A$12:$A$14</c:f>
              <c:strCache>
                <c:ptCount val="3"/>
                <c:pt idx="0">
                  <c:v>1 (1-11)</c:v>
                </c:pt>
                <c:pt idx="1">
                  <c:v>2 (12-21)</c:v>
                </c:pt>
                <c:pt idx="2">
                  <c:v>3 (22-31)</c:v>
                </c:pt>
              </c:strCache>
            </c:strRef>
          </c:cat>
          <c:val>
            <c:numRef>
              <c:f>one_third!$F$12:$F$14</c:f>
              <c:numCache>
                <c:formatCode>0.00%</c:formatCode>
                <c:ptCount val="3"/>
                <c:pt idx="0">
                  <c:v>0.38907960483655646</c:v>
                </c:pt>
                <c:pt idx="1">
                  <c:v>0.39842468627226607</c:v>
                </c:pt>
                <c:pt idx="2">
                  <c:v>0.21249570889117747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4E8-4E17-BF2D-224B46A750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9001599"/>
        <c:axId val="538983839"/>
      </c:lineChart>
      <c:catAx>
        <c:axId val="5390015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983839"/>
        <c:crosses val="autoZero"/>
        <c:auto val="1"/>
        <c:lblAlgn val="ctr"/>
        <c:lblOffset val="100"/>
        <c:noMultiLvlLbl val="0"/>
      </c:catAx>
      <c:valAx>
        <c:axId val="538983839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001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one_third!$G$11</c:f>
              <c:strCache>
                <c:ptCount val="1"/>
                <c:pt idx="0">
                  <c:v>Jan-24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one_third!$A$12:$A$14</c:f>
              <c:strCache>
                <c:ptCount val="3"/>
                <c:pt idx="0">
                  <c:v>1 (1-11)</c:v>
                </c:pt>
                <c:pt idx="1">
                  <c:v>2 (12-21)</c:v>
                </c:pt>
                <c:pt idx="2">
                  <c:v>3 (22-31)</c:v>
                </c:pt>
              </c:strCache>
            </c:strRef>
          </c:cat>
          <c:val>
            <c:numRef>
              <c:f>one_third!$G$12:$G$14</c:f>
              <c:numCache>
                <c:formatCode>0.00%</c:formatCode>
                <c:ptCount val="3"/>
                <c:pt idx="0">
                  <c:v>0.29626336202819031</c:v>
                </c:pt>
                <c:pt idx="1">
                  <c:v>0.29904455586037271</c:v>
                </c:pt>
                <c:pt idx="2">
                  <c:v>0.40469208211143692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D8-41A5-A882-B829B85F6A31}"/>
            </c:ext>
          </c:extLst>
        </c:ser>
        <c:ser>
          <c:idx val="1"/>
          <c:order val="1"/>
          <c:tx>
            <c:strRef>
              <c:f>one_third!$H$11</c:f>
              <c:strCache>
                <c:ptCount val="1"/>
                <c:pt idx="0">
                  <c:v>Feb-24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one_third!$A$12:$A$14</c:f>
              <c:strCache>
                <c:ptCount val="3"/>
                <c:pt idx="0">
                  <c:v>1 (1-11)</c:v>
                </c:pt>
                <c:pt idx="1">
                  <c:v>2 (12-21)</c:v>
                </c:pt>
                <c:pt idx="2">
                  <c:v>3 (22-31)</c:v>
                </c:pt>
              </c:strCache>
            </c:strRef>
          </c:cat>
          <c:val>
            <c:numRef>
              <c:f>one_third!$H$12:$H$14</c:f>
              <c:numCache>
                <c:formatCode>0.00%</c:formatCode>
                <c:ptCount val="3"/>
                <c:pt idx="0">
                  <c:v>0.35330546863032586</c:v>
                </c:pt>
                <c:pt idx="1">
                  <c:v>0.38654616276779658</c:v>
                </c:pt>
                <c:pt idx="2">
                  <c:v>0.26014836860187757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D8-41A5-A882-B829B85F6A31}"/>
            </c:ext>
          </c:extLst>
        </c:ser>
        <c:ser>
          <c:idx val="2"/>
          <c:order val="2"/>
          <c:tx>
            <c:strRef>
              <c:f>one_third!$I$11</c:f>
              <c:strCache>
                <c:ptCount val="1"/>
                <c:pt idx="0">
                  <c:v>Mar-24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one_third!$A$12:$A$14</c:f>
              <c:strCache>
                <c:ptCount val="3"/>
                <c:pt idx="0">
                  <c:v>1 (1-11)</c:v>
                </c:pt>
                <c:pt idx="1">
                  <c:v>2 (12-21)</c:v>
                </c:pt>
                <c:pt idx="2">
                  <c:v>3 (22-31)</c:v>
                </c:pt>
              </c:strCache>
            </c:strRef>
          </c:cat>
          <c:val>
            <c:numRef>
              <c:f>one_third!$I$12:$I$14</c:f>
              <c:numCache>
                <c:formatCode>0.00%</c:formatCode>
                <c:ptCount val="3"/>
                <c:pt idx="0">
                  <c:v>0.3905173420530188</c:v>
                </c:pt>
                <c:pt idx="1">
                  <c:v>0.40766086651874345</c:v>
                </c:pt>
                <c:pt idx="2">
                  <c:v>0.20182179142823778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D8-41A5-A882-B829B85F6A31}"/>
            </c:ext>
          </c:extLst>
        </c:ser>
        <c:ser>
          <c:idx val="3"/>
          <c:order val="3"/>
          <c:tx>
            <c:strRef>
              <c:f>one_third!$J$11</c:f>
              <c:strCache>
                <c:ptCount val="1"/>
                <c:pt idx="0">
                  <c:v>Apr-24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one_third!$A$12:$A$14</c:f>
              <c:strCache>
                <c:ptCount val="3"/>
                <c:pt idx="0">
                  <c:v>1 (1-11)</c:v>
                </c:pt>
                <c:pt idx="1">
                  <c:v>2 (12-21)</c:v>
                </c:pt>
                <c:pt idx="2">
                  <c:v>3 (22-31)</c:v>
                </c:pt>
              </c:strCache>
            </c:strRef>
          </c:cat>
          <c:val>
            <c:numRef>
              <c:f>one_third!$J$12:$J$14</c:f>
              <c:numCache>
                <c:formatCode>0.00%</c:formatCode>
                <c:ptCount val="3"/>
                <c:pt idx="0">
                  <c:v>0.45329603172447508</c:v>
                </c:pt>
                <c:pt idx="1">
                  <c:v>0.30233316131135074</c:v>
                </c:pt>
                <c:pt idx="2">
                  <c:v>0.24437080696417415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ED8-41A5-A882-B829B85F6A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9001599"/>
        <c:axId val="538983839"/>
      </c:lineChart>
      <c:catAx>
        <c:axId val="5390015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983839"/>
        <c:crosses val="autoZero"/>
        <c:auto val="1"/>
        <c:lblAlgn val="ctr"/>
        <c:lblOffset val="100"/>
        <c:noMultiLvlLbl val="0"/>
      </c:catAx>
      <c:valAx>
        <c:axId val="538983839"/>
        <c:scaling>
          <c:orientation val="minMax"/>
          <c:max val="0.60000000000000009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001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one_third!$K$11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one_third!$A$12:$A$14</c:f>
              <c:strCache>
                <c:ptCount val="3"/>
                <c:pt idx="0">
                  <c:v>1 (1-11)</c:v>
                </c:pt>
                <c:pt idx="1">
                  <c:v>2 (12-21)</c:v>
                </c:pt>
                <c:pt idx="2">
                  <c:v>3 (22-31)</c:v>
                </c:pt>
              </c:strCache>
            </c:strRef>
          </c:cat>
          <c:val>
            <c:numRef>
              <c:f>one_third!$K$12:$K$14</c:f>
              <c:numCache>
                <c:formatCode>0.00%</c:formatCode>
                <c:ptCount val="3"/>
                <c:pt idx="0">
                  <c:v>0.38009117131121117</c:v>
                </c:pt>
                <c:pt idx="1">
                  <c:v>0.33809341411787097</c:v>
                </c:pt>
                <c:pt idx="2">
                  <c:v>0.2818154145709178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0B-45B5-B1BC-88BA84E0FD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9001599"/>
        <c:axId val="538983839"/>
      </c:lineChart>
      <c:catAx>
        <c:axId val="5390015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983839"/>
        <c:crosses val="autoZero"/>
        <c:auto val="1"/>
        <c:lblAlgn val="ctr"/>
        <c:lblOffset val="100"/>
        <c:noMultiLvlLbl val="0"/>
      </c:catAx>
      <c:valAx>
        <c:axId val="538983839"/>
        <c:scaling>
          <c:orientation val="minMax"/>
          <c:max val="0.60000000000000009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001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349250</xdr:colOff>
      <xdr:row>5</xdr:row>
      <xdr:rowOff>82550</xdr:rowOff>
    </xdr:from>
    <xdr:to>
      <xdr:col>15</xdr:col>
      <xdr:colOff>576580</xdr:colOff>
      <xdr:row>20</xdr:row>
      <xdr:rowOff>78740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100876-530C-418D-B7A1-8AEFE972A1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349250</xdr:colOff>
      <xdr:row>5</xdr:row>
      <xdr:rowOff>82550</xdr:rowOff>
    </xdr:from>
    <xdr:to>
      <xdr:col>15</xdr:col>
      <xdr:colOff>576580</xdr:colOff>
      <xdr:row>20</xdr:row>
      <xdr:rowOff>78740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CF81A2-70BC-4D38-A9BF-B7EB0B3673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549275</xdr:colOff>
      <xdr:row>0</xdr:row>
      <xdr:rowOff>1586</xdr:rowOff>
    </xdr:from>
    <xdr:to>
      <xdr:col>19</xdr:col>
      <xdr:colOff>244475</xdr:colOff>
      <xdr:row>16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1F55EC-B359-44D9-98C7-7808ABCC8F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152400</xdr:colOff>
      <xdr:row>1</xdr:row>
      <xdr:rowOff>155511</xdr:rowOff>
    </xdr:from>
    <xdr:to>
      <xdr:col>17</xdr:col>
      <xdr:colOff>457200</xdr:colOff>
      <xdr:row>17</xdr:row>
      <xdr:rowOff>169863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31CA58-BB2C-4EC8-A311-917BC7562A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441325</xdr:colOff>
      <xdr:row>67</xdr:row>
      <xdr:rowOff>133350</xdr:rowOff>
    </xdr:from>
    <xdr:to>
      <xdr:col>13</xdr:col>
      <xdr:colOff>136525</xdr:colOff>
      <xdr:row>82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723B5A-EA4D-020A-976A-001DDE5E2D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63500</xdr:colOff>
      <xdr:row>1</xdr:row>
      <xdr:rowOff>31750</xdr:rowOff>
    </xdr:from>
    <xdr:to>
      <xdr:col>18</xdr:col>
      <xdr:colOff>381000</xdr:colOff>
      <xdr:row>12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32564B-F178-4873-8B6A-C61F82E4E7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57150</xdr:colOff>
      <xdr:row>12</xdr:row>
      <xdr:rowOff>152400</xdr:rowOff>
    </xdr:from>
    <xdr:to>
      <xdr:col>18</xdr:col>
      <xdr:colOff>381000</xdr:colOff>
      <xdr:row>26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5E202EB-F01B-49AF-A5F7-6449D5045D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460376</xdr:colOff>
      <xdr:row>12</xdr:row>
      <xdr:rowOff>150811</xdr:rowOff>
    </xdr:from>
    <xdr:to>
      <xdr:col>25</xdr:col>
      <xdr:colOff>198437</xdr:colOff>
      <xdr:row>26</xdr:row>
      <xdr:rowOff>7937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1862332-61F8-428C-86F5-7E9A909A7E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468313</xdr:colOff>
      <xdr:row>1</xdr:row>
      <xdr:rowOff>31750</xdr:rowOff>
    </xdr:from>
    <xdr:to>
      <xdr:col>25</xdr:col>
      <xdr:colOff>166687</xdr:colOff>
      <xdr:row>12</xdr:row>
      <xdr:rowOff>63501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2683702-0C96-46CE-99C8-41A2B8C911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269875</xdr:colOff>
      <xdr:row>1</xdr:row>
      <xdr:rowOff>39690</xdr:rowOff>
    </xdr:from>
    <xdr:to>
      <xdr:col>31</xdr:col>
      <xdr:colOff>603250</xdr:colOff>
      <xdr:row>12</xdr:row>
      <xdr:rowOff>55563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2408254-368E-4823-B2E3-CB54FC7010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879475</xdr:colOff>
      <xdr:row>16</xdr:row>
      <xdr:rowOff>44450</xdr:rowOff>
    </xdr:from>
    <xdr:to>
      <xdr:col>7</xdr:col>
      <xdr:colOff>111125</xdr:colOff>
      <xdr:row>31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38A356-3518-9808-949E-876AD85E23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16</xdr:row>
      <xdr:rowOff>0</xdr:rowOff>
    </xdr:from>
    <xdr:to>
      <xdr:col>14</xdr:col>
      <xdr:colOff>374650</xdr:colOff>
      <xdr:row>30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EEF3F5-C96F-4F76-B6FD-63FE6E961A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35</xdr:row>
      <xdr:rowOff>0</xdr:rowOff>
    </xdr:from>
    <xdr:to>
      <xdr:col>10</xdr:col>
      <xdr:colOff>152400</xdr:colOff>
      <xdr:row>49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673492F-0D98-4898-BDD6-963ABE7366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ELATI AYU ARINI" id="{A591C40D-711F-48BA-A0BD-9A58274E1B38}" userId="S::21059915@btpn.com::ccff918d-461d-4656-96b8-5c4998077ce5" providerId="AD"/>
  <person displayName="ALVIN ARIANTO PRADIPTA" id="{E438BCAA-CEF8-4117-8591-340FE2B576E6}" userId="S::22060909@BTPN.COM::21565586-c4f8-4815-8841-2db78645dc54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VIN ARIANTO PRADIPTA" refreshedDate="45438.909034953707" createdVersion="8" refreshedVersion="8" minRefreshableVersion="3" recordCount="31" xr:uid="{5C83C2F4-6F86-4B62-99DB-942FB3132A9D}">
  <cacheSource type="worksheet">
    <worksheetSource ref="B1:L32" sheet="Daily"/>
  </cacheSource>
  <cacheFields count="11">
    <cacheField name="one_third" numFmtId="0">
      <sharedItems containsSemiMixedTypes="0" containsString="0" containsNumber="1" containsInteger="1" minValue="1" maxValue="3" count="3">
        <n v="1"/>
        <n v="2"/>
        <n v="3"/>
      </sharedItems>
    </cacheField>
    <cacheField name="Date" numFmtId="0">
      <sharedItems containsSemiMixedTypes="0" containsString="0" containsNumber="1" containsInteger="1" minValue="1" maxValue="31"/>
    </cacheField>
    <cacheField name="Aug-23" numFmtId="0">
      <sharedItems containsSemiMixedTypes="0" containsString="0" containsNumber="1" containsInteger="1" minValue="0" maxValue="5527"/>
    </cacheField>
    <cacheField name="Sep-23" numFmtId="0">
      <sharedItems containsString="0" containsBlank="1" containsNumber="1" containsInteger="1" minValue="0" maxValue="6971"/>
    </cacheField>
    <cacheField name="Oct-23" numFmtId="0">
      <sharedItems containsSemiMixedTypes="0" containsString="0" containsNumber="1" containsInteger="1" minValue="0" maxValue="5099"/>
    </cacheField>
    <cacheField name="Nov-23" numFmtId="0">
      <sharedItems containsSemiMixedTypes="0" containsString="0" containsNumber="1" containsInteger="1" minValue="0" maxValue="7294"/>
    </cacheField>
    <cacheField name="Dec-23" numFmtId="0">
      <sharedItems containsSemiMixedTypes="0" containsString="0" containsNumber="1" containsInteger="1" minValue="0" maxValue="5102"/>
    </cacheField>
    <cacheField name="Jan-24" numFmtId="0">
      <sharedItems containsSemiMixedTypes="0" containsString="0" containsNumber="1" containsInteger="1" minValue="0" maxValue="5721"/>
    </cacheField>
    <cacheField name="Feb-24" numFmtId="0">
      <sharedItems containsSemiMixedTypes="0" containsString="0" containsNumber="1" containsInteger="1" minValue="0" maxValue="5732"/>
    </cacheField>
    <cacheField name="Mar-24" numFmtId="0">
      <sharedItems containsSemiMixedTypes="0" containsString="0" containsNumber="1" containsInteger="1" minValue="0" maxValue="5602"/>
    </cacheField>
    <cacheField name="Apr-24" numFmtId="0">
      <sharedItems containsSemiMixedTypes="0" containsString="0" containsNumber="1" containsInteger="1" minValue="0" maxValue="615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">
  <r>
    <x v="0"/>
    <n v="1"/>
    <n v="2142"/>
    <n v="3296"/>
    <n v="0"/>
    <n v="3841"/>
    <n v="1466"/>
    <n v="2203"/>
    <n v="3728"/>
    <n v="3768"/>
    <n v="6158"/>
  </r>
  <r>
    <x v="0"/>
    <n v="2"/>
    <n v="2037"/>
    <n v="0"/>
    <n v="5099"/>
    <n v="768"/>
    <n v="0"/>
    <n v="3422"/>
    <n v="3731"/>
    <n v="0"/>
    <n v="4268"/>
  </r>
  <r>
    <x v="0"/>
    <n v="3"/>
    <n v="1120"/>
    <n v="0"/>
    <n v="3919"/>
    <n v="1013"/>
    <n v="0"/>
    <n v="3155"/>
    <n v="0"/>
    <n v="0"/>
    <n v="4458"/>
  </r>
  <r>
    <x v="0"/>
    <n v="4"/>
    <n v="880"/>
    <n v="4263"/>
    <n v="3650"/>
    <n v="0"/>
    <n v="5075"/>
    <n v="969"/>
    <n v="0"/>
    <n v="4725"/>
    <n v="888"/>
  </r>
  <r>
    <x v="0"/>
    <n v="5"/>
    <n v="0"/>
    <n v="3203"/>
    <n v="3659"/>
    <n v="0"/>
    <n v="3551"/>
    <n v="895"/>
    <n v="5732"/>
    <n v="3414"/>
    <n v="917"/>
  </r>
  <r>
    <x v="0"/>
    <n v="6"/>
    <n v="0"/>
    <n v="659"/>
    <n v="3579"/>
    <n v="1572"/>
    <n v="3455"/>
    <n v="0"/>
    <n v="880"/>
    <n v="3331"/>
    <n v="0"/>
  </r>
  <r>
    <x v="0"/>
    <n v="7"/>
    <n v="1527"/>
    <n v="621"/>
    <n v="0"/>
    <n v="4347"/>
    <n v="3454"/>
    <n v="0"/>
    <n v="846"/>
    <n v="777"/>
    <n v="0"/>
  </r>
  <r>
    <x v="0"/>
    <n v="8"/>
    <n v="1056"/>
    <n v="1656"/>
    <n v="0"/>
    <n v="4527"/>
    <n v="897"/>
    <n v="2126"/>
    <n v="0"/>
    <n v="705"/>
    <n v="0"/>
  </r>
  <r>
    <x v="0"/>
    <n v="9"/>
    <n v="2380"/>
    <n v="0"/>
    <n v="1460"/>
    <n v="3101"/>
    <n v="0"/>
    <n v="1075"/>
    <n v="1228"/>
    <n v="0"/>
    <n v="0"/>
  </r>
  <r>
    <x v="0"/>
    <n v="10"/>
    <n v="3137"/>
    <n v="0"/>
    <n v="607"/>
    <n v="3070"/>
    <n v="0"/>
    <n v="814"/>
    <n v="0"/>
    <n v="0"/>
    <n v="0"/>
  </r>
  <r>
    <x v="0"/>
    <n v="11"/>
    <n v="3457"/>
    <n v="1617"/>
    <n v="622"/>
    <n v="0"/>
    <n v="2503"/>
    <n v="1000"/>
    <n v="0"/>
    <n v="0"/>
    <n v="0"/>
  </r>
  <r>
    <x v="1"/>
    <n v="12"/>
    <n v="0"/>
    <n v="848"/>
    <n v="668"/>
    <n v="0"/>
    <n v="1831"/>
    <n v="3694"/>
    <n v="1636"/>
    <n v="2002"/>
    <n v="0"/>
  </r>
  <r>
    <x v="1"/>
    <n v="13"/>
    <n v="0"/>
    <n v="4393"/>
    <n v="742"/>
    <n v="5787"/>
    <n v="1256"/>
    <n v="0"/>
    <n v="3221"/>
    <n v="578"/>
    <n v="0"/>
  </r>
  <r>
    <x v="1"/>
    <n v="14"/>
    <n v="2577"/>
    <n v="3923"/>
    <n v="0"/>
    <n v="3706"/>
    <n v="1624"/>
    <n v="0"/>
    <n v="532"/>
    <n v="682"/>
    <n v="0"/>
  </r>
  <r>
    <x v="1"/>
    <n v="15"/>
    <n v="3492"/>
    <n v="823"/>
    <n v="0"/>
    <n v="1493"/>
    <n v="3608"/>
    <n v="5721"/>
    <n v="3179"/>
    <n v="3175"/>
    <n v="0"/>
  </r>
  <r>
    <x v="1"/>
    <n v="16"/>
    <n v="3532"/>
    <n v="0"/>
    <n v="1755"/>
    <n v="1227"/>
    <n v="0"/>
    <n v="3196"/>
    <n v="3215"/>
    <n v="0"/>
    <n v="5599"/>
  </r>
  <r>
    <x v="1"/>
    <n v="17"/>
    <n v="0"/>
    <n v="0"/>
    <n v="656"/>
    <n v="1232"/>
    <n v="0"/>
    <n v="1309"/>
    <n v="0"/>
    <n v="0"/>
    <n v="3938"/>
  </r>
  <r>
    <x v="1"/>
    <n v="18"/>
    <n v="4097"/>
    <n v="6971"/>
    <n v="1048"/>
    <n v="0"/>
    <n v="5102"/>
    <n v="1060"/>
    <n v="0"/>
    <n v="4107"/>
    <n v="761"/>
  </r>
  <r>
    <x v="1"/>
    <n v="19"/>
    <n v="0"/>
    <n v="2772"/>
    <n v="573"/>
    <n v="0"/>
    <n v="3426"/>
    <n v="826"/>
    <n v="4456"/>
    <n v="689"/>
    <n v="833"/>
  </r>
  <r>
    <x v="1"/>
    <n v="20"/>
    <n v="0"/>
    <n v="5599"/>
    <n v="552"/>
    <n v="3568"/>
    <n v="3358"/>
    <n v="0"/>
    <n v="653"/>
    <n v="5602"/>
    <n v="0"/>
  </r>
  <r>
    <x v="1"/>
    <n v="21"/>
    <n v="1489"/>
    <n v="548"/>
    <n v="0"/>
    <n v="2296"/>
    <n v="686"/>
    <n v="0"/>
    <n v="772"/>
    <n v="619"/>
    <n v="0"/>
  </r>
  <r>
    <x v="2"/>
    <n v="22"/>
    <n v="597"/>
    <n v="3512"/>
    <n v="0"/>
    <n v="1052"/>
    <n v="931"/>
    <n v="2146"/>
    <n v="817"/>
    <n v="1063"/>
    <n v="1750"/>
  </r>
  <r>
    <x v="2"/>
    <n v="23"/>
    <n v="790"/>
    <n v="0"/>
    <n v="1378"/>
    <n v="1921"/>
    <n v="0"/>
    <n v="3324"/>
    <n v="877"/>
    <n v="0"/>
    <n v="744"/>
  </r>
  <r>
    <x v="2"/>
    <n v="24"/>
    <n v="655"/>
    <n v="0"/>
    <n v="595"/>
    <n v="3915"/>
    <n v="0"/>
    <n v="3329"/>
    <n v="0"/>
    <n v="0"/>
    <n v="781"/>
  </r>
  <r>
    <x v="2"/>
    <n v="25"/>
    <n v="804"/>
    <n v="4531"/>
    <n v="4270"/>
    <n v="0"/>
    <n v="0"/>
    <n v="3091"/>
    <n v="0"/>
    <n v="1921"/>
    <n v="948"/>
  </r>
  <r>
    <x v="2"/>
    <n v="26"/>
    <n v="0"/>
    <n v="1035"/>
    <n v="937"/>
    <n v="0"/>
    <n v="2091"/>
    <n v="2724"/>
    <n v="2069"/>
    <n v="1056"/>
    <n v="1470"/>
  </r>
  <r>
    <x v="2"/>
    <n v="27"/>
    <n v="0"/>
    <n v="767"/>
    <n v="932"/>
    <n v="7294"/>
    <n v="690"/>
    <n v="0"/>
    <n v="1118"/>
    <n v="1100"/>
    <n v="0"/>
  </r>
  <r>
    <x v="2"/>
    <n v="28"/>
    <n v="5527"/>
    <n v="0"/>
    <n v="0"/>
    <n v="1165"/>
    <n v="3573"/>
    <n v="0"/>
    <n v="3426"/>
    <n v="3501"/>
    <n v="0"/>
  </r>
  <r>
    <x v="2"/>
    <n v="29"/>
    <n v="4844"/>
    <n v="1430"/>
    <n v="0"/>
    <n v="1126"/>
    <n v="3857"/>
    <n v="2286"/>
    <n v="3581"/>
    <n v="0"/>
    <n v="2287"/>
  </r>
  <r>
    <x v="2"/>
    <n v="30"/>
    <n v="3257"/>
    <n v="0"/>
    <n v="4656"/>
    <n v="1383"/>
    <n v="0"/>
    <n v="984"/>
    <n v="0"/>
    <n v="0"/>
    <n v="1017"/>
  </r>
  <r>
    <x v="2"/>
    <n v="31"/>
    <n v="3215"/>
    <m/>
    <n v="878"/>
    <n v="0"/>
    <n v="0"/>
    <n v="3506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0BFE61-95FE-4307-BBA0-4F6315718063}" name="PivotTable1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J7" firstHeaderRow="0" firstDataRow="1" firstDataCol="1"/>
  <pivotFields count="11">
    <pivotField axis="axisRow" showAll="0">
      <items count="4">
        <item x="0"/>
        <item x="1"/>
        <item x="2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Sum of Aug-23" fld="2" baseField="0" baseItem="0"/>
    <dataField name="Sum of Sep-23" fld="3" baseField="0" baseItem="0"/>
    <dataField name="Sum of Oct-23" fld="4" baseField="0" baseItem="0"/>
    <dataField name="Sum of Nov-23" fld="5" baseField="0" baseItem="0"/>
    <dataField name="Sum of Dec-23" fld="6" baseField="0" baseItem="0"/>
    <dataField name="Sum of Jan-24" fld="7" baseField="0" baseItem="0"/>
    <dataField name="Sum of Feb-24" fld="8" baseField="0" baseItem="0"/>
    <dataField name="Sum of Mar-24" fld="9" baseField="0" baseItem="0"/>
    <dataField name="Sum of Apr-24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64" dT="2023-04-04T10:29:49.72" personId="{A591C40D-711F-48BA-A0BD-9A58274E1B38}" id="{FD36F415-3954-45B4-BA1D-50169803A575}">
    <text>Penjumlahan dari tgl 1 - tgl terakhir di file excel update card stock for dashboard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64" dT="2023-04-04T10:29:49.72" personId="{A591C40D-711F-48BA-A0BD-9A58274E1B38}" id="{6E939260-E4D5-4EEE-A25C-5690BAB303C6}">
    <text>Penjumlahan dari tgl 1 - tgl terakhir di file excel update card stock for dashboard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K11" dT="2024-05-27T03:22:25.57" personId="{E438BCAA-CEF8-4117-8591-340FE2B576E6}" id="{A1B4B7CA-1A0D-4A41-AEF8-F49D61AA692E}">
    <text>22Aug-10Dec</text>
  </threadedComment>
  <threadedComment ref="I22" dT="2024-05-27T03:22:25.57" personId="{E438BCAA-CEF8-4117-8591-340FE2B576E6}" id="{33B3F704-5172-45F7-8F45-69017C0B2F75}">
    <text>22Aug-10Dec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6.xml"/><Relationship Id="rId4" Type="http://schemas.microsoft.com/office/2017/10/relationships/threadedComment" Target="../threadedComments/threadedComment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9011A-7255-4CAA-9C4C-E04D0D131176}">
  <sheetPr>
    <tabColor rgb="FF92D050"/>
  </sheetPr>
  <dimension ref="A1:K97"/>
  <sheetViews>
    <sheetView workbookViewId="0">
      <pane ySplit="1" topLeftCell="A74" activePane="bottomLeft" state="frozen"/>
      <selection pane="bottomLeft" activeCell="C75" sqref="C75:C84"/>
    </sheetView>
  </sheetViews>
  <sheetFormatPr defaultRowHeight="14.5" x14ac:dyDescent="0.35"/>
  <cols>
    <col min="1" max="1" width="10.54296875" bestFit="1" customWidth="1"/>
    <col min="2" max="2" width="10.08984375" bestFit="1" customWidth="1"/>
    <col min="3" max="4" width="11.81640625" bestFit="1" customWidth="1"/>
    <col min="7" max="7" width="11.81640625" bestFit="1" customWidth="1"/>
    <col min="8" max="8" width="15" bestFit="1" customWidth="1"/>
    <col min="9" max="9" width="6.90625" bestFit="1" customWidth="1"/>
    <col min="10" max="10" width="8.6328125" bestFit="1" customWidth="1"/>
  </cols>
  <sheetData>
    <row r="1" spans="1:7" ht="15" thickTop="1" x14ac:dyDescent="0.35">
      <c r="A1" t="s">
        <v>21</v>
      </c>
      <c r="B1" s="39" t="s">
        <v>5</v>
      </c>
      <c r="C1" s="3" t="s">
        <v>9</v>
      </c>
      <c r="D1" s="13" t="s">
        <v>49</v>
      </c>
      <c r="F1" t="s">
        <v>10</v>
      </c>
      <c r="G1">
        <v>0.7</v>
      </c>
    </row>
    <row r="2" spans="1:7" x14ac:dyDescent="0.35">
      <c r="A2" s="5">
        <v>43131</v>
      </c>
      <c r="B2" s="40">
        <v>34890</v>
      </c>
      <c r="C2" s="40">
        <v>34890</v>
      </c>
      <c r="D2" s="40"/>
    </row>
    <row r="3" spans="1:7" x14ac:dyDescent="0.35">
      <c r="A3" s="5">
        <v>43159</v>
      </c>
      <c r="B3" s="40">
        <v>25830</v>
      </c>
      <c r="C3" s="40">
        <f>($G$1*B2)+((1-$G$1)*C2)</f>
        <v>34890</v>
      </c>
      <c r="D3" s="40"/>
      <c r="E3" s="41"/>
    </row>
    <row r="4" spans="1:7" x14ac:dyDescent="0.35">
      <c r="A4" s="5">
        <v>43190</v>
      </c>
      <c r="B4" s="40">
        <v>41054</v>
      </c>
      <c r="C4" s="40">
        <f t="shared" ref="C4:C66" si="0">($G$1*B3)+((1-$G$1)*C3)</f>
        <v>28548</v>
      </c>
      <c r="D4" s="40"/>
    </row>
    <row r="5" spans="1:7" x14ac:dyDescent="0.35">
      <c r="A5" s="5">
        <v>43220</v>
      </c>
      <c r="B5" s="40">
        <v>36838</v>
      </c>
      <c r="C5" s="40">
        <f t="shared" si="0"/>
        <v>37302.199999999997</v>
      </c>
      <c r="D5" s="40"/>
    </row>
    <row r="6" spans="1:7" x14ac:dyDescent="0.35">
      <c r="A6" s="5">
        <v>43251</v>
      </c>
      <c r="B6" s="40">
        <v>56808</v>
      </c>
      <c r="C6" s="40">
        <f t="shared" si="0"/>
        <v>36977.26</v>
      </c>
      <c r="D6" s="40"/>
    </row>
    <row r="7" spans="1:7" x14ac:dyDescent="0.35">
      <c r="A7" s="5">
        <v>43281</v>
      </c>
      <c r="B7" s="40">
        <v>34939</v>
      </c>
      <c r="C7" s="40">
        <f t="shared" si="0"/>
        <v>50858.777999999998</v>
      </c>
      <c r="D7" s="40"/>
    </row>
    <row r="8" spans="1:7" x14ac:dyDescent="0.35">
      <c r="A8" s="5">
        <v>43312</v>
      </c>
      <c r="B8" s="40">
        <v>41853</v>
      </c>
      <c r="C8" s="40">
        <f t="shared" si="0"/>
        <v>39714.933400000002</v>
      </c>
      <c r="D8" s="40"/>
    </row>
    <row r="9" spans="1:7" x14ac:dyDescent="0.35">
      <c r="A9" s="5">
        <v>43343</v>
      </c>
      <c r="B9" s="40">
        <v>58036</v>
      </c>
      <c r="C9" s="40">
        <f t="shared" si="0"/>
        <v>41211.580020000001</v>
      </c>
      <c r="D9" s="40"/>
    </row>
    <row r="10" spans="1:7" x14ac:dyDescent="0.35">
      <c r="A10" s="5">
        <v>43373</v>
      </c>
      <c r="B10" s="40">
        <v>42879</v>
      </c>
      <c r="C10" s="40">
        <f t="shared" si="0"/>
        <v>52988.674006000001</v>
      </c>
      <c r="D10" s="40"/>
    </row>
    <row r="11" spans="1:7" x14ac:dyDescent="0.35">
      <c r="A11" s="5">
        <v>43404</v>
      </c>
      <c r="B11" s="40">
        <v>54081</v>
      </c>
      <c r="C11" s="40">
        <f t="shared" si="0"/>
        <v>45911.902201800003</v>
      </c>
      <c r="D11" s="40"/>
    </row>
    <row r="12" spans="1:7" x14ac:dyDescent="0.35">
      <c r="A12" s="5">
        <v>43434</v>
      </c>
      <c r="B12" s="40">
        <v>31764</v>
      </c>
      <c r="C12" s="40">
        <f t="shared" si="0"/>
        <v>51630.270660540002</v>
      </c>
      <c r="D12" s="40"/>
    </row>
    <row r="13" spans="1:7" x14ac:dyDescent="0.35">
      <c r="A13" s="5">
        <v>43465</v>
      </c>
      <c r="B13" s="40">
        <v>45101</v>
      </c>
      <c r="C13" s="40">
        <f t="shared" si="0"/>
        <v>37723.881198162002</v>
      </c>
      <c r="D13" s="40"/>
    </row>
    <row r="14" spans="1:7" x14ac:dyDescent="0.35">
      <c r="A14" s="5">
        <v>43496</v>
      </c>
      <c r="B14" s="40">
        <v>61974</v>
      </c>
      <c r="C14" s="40">
        <f t="shared" si="0"/>
        <v>42887.864359448598</v>
      </c>
      <c r="D14" s="40"/>
    </row>
    <row r="15" spans="1:7" x14ac:dyDescent="0.35">
      <c r="A15" s="5">
        <v>43524</v>
      </c>
      <c r="B15" s="40">
        <v>37927</v>
      </c>
      <c r="C15" s="40">
        <f t="shared" si="0"/>
        <v>56248.159307834576</v>
      </c>
      <c r="D15" s="40"/>
    </row>
    <row r="16" spans="1:7" x14ac:dyDescent="0.35">
      <c r="A16" s="5">
        <v>43555</v>
      </c>
      <c r="B16" s="40">
        <v>59679</v>
      </c>
      <c r="C16" s="40">
        <f t="shared" si="0"/>
        <v>43423.347792350374</v>
      </c>
      <c r="D16" s="40"/>
    </row>
    <row r="17" spans="1:4" x14ac:dyDescent="0.35">
      <c r="A17" s="5">
        <v>43585</v>
      </c>
      <c r="B17" s="40">
        <v>56163</v>
      </c>
      <c r="C17" s="40">
        <f t="shared" si="0"/>
        <v>54802.304337705107</v>
      </c>
      <c r="D17" s="40"/>
    </row>
    <row r="18" spans="1:4" x14ac:dyDescent="0.35">
      <c r="A18" s="5">
        <v>43616</v>
      </c>
      <c r="B18" s="40">
        <v>118501</v>
      </c>
      <c r="C18" s="40">
        <f t="shared" si="0"/>
        <v>55754.791301311532</v>
      </c>
      <c r="D18" s="40"/>
    </row>
    <row r="19" spans="1:4" x14ac:dyDescent="0.35">
      <c r="A19" s="5">
        <v>43646</v>
      </c>
      <c r="B19" s="40">
        <v>78698</v>
      </c>
      <c r="C19" s="40">
        <f t="shared" si="0"/>
        <v>99677.137390393458</v>
      </c>
      <c r="D19" s="40"/>
    </row>
    <row r="20" spans="1:4" x14ac:dyDescent="0.35">
      <c r="A20" s="5">
        <v>43677</v>
      </c>
      <c r="B20" s="40">
        <v>109530</v>
      </c>
      <c r="C20" s="40">
        <f t="shared" si="0"/>
        <v>84991.741217118048</v>
      </c>
      <c r="D20" s="40"/>
    </row>
    <row r="21" spans="1:4" x14ac:dyDescent="0.35">
      <c r="A21" s="5">
        <v>43708</v>
      </c>
      <c r="B21" s="40">
        <v>116775</v>
      </c>
      <c r="C21" s="40">
        <f t="shared" si="0"/>
        <v>102168.52236513542</v>
      </c>
      <c r="D21" s="40"/>
    </row>
    <row r="22" spans="1:4" x14ac:dyDescent="0.35">
      <c r="A22" s="5">
        <v>43738</v>
      </c>
      <c r="B22" s="40">
        <v>115435</v>
      </c>
      <c r="C22" s="40">
        <f t="shared" si="0"/>
        <v>112393.05670954063</v>
      </c>
      <c r="D22" s="40"/>
    </row>
    <row r="23" spans="1:4" x14ac:dyDescent="0.35">
      <c r="A23" s="5">
        <v>43769</v>
      </c>
      <c r="B23" s="40">
        <v>100006</v>
      </c>
      <c r="C23" s="40">
        <f t="shared" si="0"/>
        <v>114522.41701286219</v>
      </c>
      <c r="D23" s="40"/>
    </row>
    <row r="24" spans="1:4" x14ac:dyDescent="0.35">
      <c r="A24" s="5">
        <v>43799</v>
      </c>
      <c r="B24" s="40">
        <v>105375</v>
      </c>
      <c r="C24" s="40">
        <f t="shared" si="0"/>
        <v>104360.92510385867</v>
      </c>
      <c r="D24" s="40"/>
    </row>
    <row r="25" spans="1:4" x14ac:dyDescent="0.35">
      <c r="A25" s="5">
        <v>43830</v>
      </c>
      <c r="B25" s="40">
        <v>106477</v>
      </c>
      <c r="C25" s="40">
        <f t="shared" si="0"/>
        <v>105070.7775311576</v>
      </c>
      <c r="D25" s="40"/>
    </row>
    <row r="26" spans="1:4" x14ac:dyDescent="0.35">
      <c r="A26" s="5">
        <v>43861</v>
      </c>
      <c r="B26" s="40">
        <v>82087</v>
      </c>
      <c r="C26" s="40">
        <f t="shared" si="0"/>
        <v>106055.13325934728</v>
      </c>
      <c r="D26" s="40"/>
    </row>
    <row r="27" spans="1:4" x14ac:dyDescent="0.35">
      <c r="A27" s="5">
        <v>43890</v>
      </c>
      <c r="B27" s="40">
        <v>90055</v>
      </c>
      <c r="C27" s="40">
        <f t="shared" si="0"/>
        <v>89277.439977804184</v>
      </c>
      <c r="D27" s="40"/>
    </row>
    <row r="28" spans="1:4" x14ac:dyDescent="0.35">
      <c r="A28" s="5">
        <v>43921</v>
      </c>
      <c r="B28" s="40">
        <v>77921</v>
      </c>
      <c r="C28" s="40">
        <f t="shared" si="0"/>
        <v>89821.731993341251</v>
      </c>
      <c r="D28" s="40"/>
    </row>
    <row r="29" spans="1:4" x14ac:dyDescent="0.35">
      <c r="A29" s="5">
        <v>43951</v>
      </c>
      <c r="B29" s="40">
        <v>31224</v>
      </c>
      <c r="C29" s="40">
        <f t="shared" si="0"/>
        <v>81491.219598002383</v>
      </c>
      <c r="D29" s="40"/>
    </row>
    <row r="30" spans="1:4" x14ac:dyDescent="0.35">
      <c r="A30" s="5">
        <v>43982</v>
      </c>
      <c r="B30" s="40">
        <v>23641</v>
      </c>
      <c r="C30" s="40">
        <f t="shared" si="0"/>
        <v>46304.165879400716</v>
      </c>
      <c r="D30" s="40"/>
    </row>
    <row r="31" spans="1:4" x14ac:dyDescent="0.35">
      <c r="A31" s="5">
        <v>44012</v>
      </c>
      <c r="B31" s="40">
        <v>36735</v>
      </c>
      <c r="C31" s="40">
        <f t="shared" si="0"/>
        <v>30439.949763820216</v>
      </c>
      <c r="D31" s="40"/>
    </row>
    <row r="32" spans="1:4" x14ac:dyDescent="0.35">
      <c r="A32" s="5">
        <v>44043</v>
      </c>
      <c r="B32" s="40">
        <v>44506</v>
      </c>
      <c r="C32" s="40">
        <f t="shared" si="0"/>
        <v>34846.48492914607</v>
      </c>
      <c r="D32" s="40"/>
    </row>
    <row r="33" spans="1:8" x14ac:dyDescent="0.35">
      <c r="A33" s="5">
        <v>44074</v>
      </c>
      <c r="B33" s="40">
        <v>55883</v>
      </c>
      <c r="C33" s="40">
        <f t="shared" si="0"/>
        <v>41608.14547874382</v>
      </c>
      <c r="D33" s="40"/>
    </row>
    <row r="34" spans="1:8" x14ac:dyDescent="0.35">
      <c r="A34" s="5">
        <v>44104</v>
      </c>
      <c r="B34" s="40">
        <v>68914</v>
      </c>
      <c r="C34" s="40">
        <f t="shared" si="0"/>
        <v>51600.543643623147</v>
      </c>
      <c r="D34" s="40"/>
    </row>
    <row r="35" spans="1:8" x14ac:dyDescent="0.35">
      <c r="A35" s="5">
        <v>44135</v>
      </c>
      <c r="B35" s="40">
        <v>47439</v>
      </c>
      <c r="C35" s="40">
        <f t="shared" si="0"/>
        <v>63719.963093086946</v>
      </c>
      <c r="D35" s="40"/>
    </row>
    <row r="36" spans="1:8" x14ac:dyDescent="0.35">
      <c r="A36" s="5">
        <v>44165</v>
      </c>
      <c r="B36" s="40">
        <v>75926</v>
      </c>
      <c r="C36" s="40">
        <f t="shared" si="0"/>
        <v>52323.288927926085</v>
      </c>
      <c r="D36" s="40"/>
    </row>
    <row r="37" spans="1:8" x14ac:dyDescent="0.35">
      <c r="A37" s="5">
        <v>44196</v>
      </c>
      <c r="B37" s="40">
        <v>67387</v>
      </c>
      <c r="C37" s="40">
        <f t="shared" si="0"/>
        <v>68845.186678377824</v>
      </c>
      <c r="D37" s="40"/>
    </row>
    <row r="38" spans="1:8" x14ac:dyDescent="0.35">
      <c r="A38" s="5">
        <v>44227</v>
      </c>
      <c r="B38" s="40">
        <v>60442</v>
      </c>
      <c r="C38" s="40">
        <f>($G$1*B37)+((1-$G$1)*C37)</f>
        <v>67824.456003513347</v>
      </c>
      <c r="D38" s="40"/>
      <c r="G38" t="s">
        <v>22</v>
      </c>
      <c r="H38" t="s">
        <v>23</v>
      </c>
    </row>
    <row r="39" spans="1:8" x14ac:dyDescent="0.35">
      <c r="A39" s="5">
        <v>44255</v>
      </c>
      <c r="B39" s="40">
        <v>63811</v>
      </c>
      <c r="C39" s="40">
        <f t="shared" si="0"/>
        <v>62656.736801054001</v>
      </c>
      <c r="D39" s="40"/>
      <c r="G39" s="5">
        <v>44012</v>
      </c>
      <c r="H39" s="41">
        <f t="shared" ref="H39:H42" si="1">SUM(C31:C34)</f>
        <v>158495.12381533327</v>
      </c>
    </row>
    <row r="40" spans="1:8" x14ac:dyDescent="0.35">
      <c r="A40" s="5">
        <v>44286</v>
      </c>
      <c r="B40" s="40">
        <v>55821</v>
      </c>
      <c r="C40" s="40">
        <f t="shared" si="0"/>
        <v>63464.721040316203</v>
      </c>
      <c r="D40" s="40"/>
      <c r="G40" s="5">
        <v>44043</v>
      </c>
      <c r="H40" s="41">
        <f t="shared" si="1"/>
        <v>191775.13714459998</v>
      </c>
    </row>
    <row r="41" spans="1:8" x14ac:dyDescent="0.35">
      <c r="A41" s="5">
        <v>44316</v>
      </c>
      <c r="B41" s="40">
        <v>33014</v>
      </c>
      <c r="C41" s="40">
        <f t="shared" si="0"/>
        <v>58114.116312094862</v>
      </c>
      <c r="D41" s="40"/>
      <c r="G41" s="5">
        <v>44074</v>
      </c>
      <c r="H41" s="41">
        <f t="shared" si="1"/>
        <v>209251.94114338001</v>
      </c>
    </row>
    <row r="42" spans="1:8" x14ac:dyDescent="0.35">
      <c r="A42" s="5">
        <v>44347</v>
      </c>
      <c r="B42" s="40">
        <v>11690</v>
      </c>
      <c r="C42" s="40">
        <f t="shared" si="0"/>
        <v>40544.034893628457</v>
      </c>
      <c r="D42" s="40"/>
      <c r="G42" s="5">
        <v>44104</v>
      </c>
      <c r="H42" s="41">
        <f t="shared" si="1"/>
        <v>236488.98234301401</v>
      </c>
    </row>
    <row r="43" spans="1:8" x14ac:dyDescent="0.35">
      <c r="A43" s="5">
        <v>44377</v>
      </c>
      <c r="B43" s="40">
        <v>9100</v>
      </c>
      <c r="C43" s="40">
        <f t="shared" si="0"/>
        <v>20346.210468088539</v>
      </c>
      <c r="D43" s="40"/>
      <c r="G43" s="5">
        <v>44135</v>
      </c>
      <c r="H43" s="41">
        <f t="shared" ref="H43:H48" si="2">SUM(C35:C38)</f>
        <v>252712.89470290422</v>
      </c>
    </row>
    <row r="44" spans="1:8" x14ac:dyDescent="0.35">
      <c r="A44" s="5">
        <v>44408</v>
      </c>
      <c r="B44" s="40">
        <v>8510</v>
      </c>
      <c r="C44" s="40">
        <f t="shared" si="0"/>
        <v>12473.863140426562</v>
      </c>
      <c r="D44" s="40"/>
      <c r="G44" s="5">
        <v>44165</v>
      </c>
      <c r="H44" s="41">
        <f t="shared" si="2"/>
        <v>251649.66841087127</v>
      </c>
    </row>
    <row r="45" spans="1:8" x14ac:dyDescent="0.35">
      <c r="A45" s="5">
        <v>44439</v>
      </c>
      <c r="B45" s="40">
        <v>10133</v>
      </c>
      <c r="C45" s="40">
        <f t="shared" si="0"/>
        <v>9699.1589421279696</v>
      </c>
      <c r="D45" s="40"/>
      <c r="G45" s="5">
        <v>44196</v>
      </c>
      <c r="H45" s="41">
        <f t="shared" si="2"/>
        <v>262791.10052326135</v>
      </c>
    </row>
    <row r="46" spans="1:8" x14ac:dyDescent="0.35">
      <c r="A46" s="5">
        <v>44469</v>
      </c>
      <c r="B46" s="40">
        <v>10459</v>
      </c>
      <c r="C46" s="40">
        <f t="shared" si="0"/>
        <v>10002.84768263839</v>
      </c>
      <c r="D46" s="40"/>
      <c r="G46" s="5">
        <v>44227</v>
      </c>
      <c r="H46" s="41">
        <f t="shared" si="2"/>
        <v>252060.03015697841</v>
      </c>
    </row>
    <row r="47" spans="1:8" x14ac:dyDescent="0.35">
      <c r="A47" s="5">
        <v>44500</v>
      </c>
      <c r="B47" s="40">
        <v>14893</v>
      </c>
      <c r="C47" s="40">
        <f t="shared" si="0"/>
        <v>10322.154304791517</v>
      </c>
      <c r="D47" s="40"/>
      <c r="G47" s="5">
        <v>44255</v>
      </c>
      <c r="H47" s="41">
        <f t="shared" si="2"/>
        <v>224779.60904709349</v>
      </c>
    </row>
    <row r="48" spans="1:8" x14ac:dyDescent="0.35">
      <c r="A48" s="5">
        <v>44530</v>
      </c>
      <c r="B48" s="40">
        <v>20774</v>
      </c>
      <c r="C48" s="40">
        <f t="shared" si="0"/>
        <v>13521.746291437454</v>
      </c>
      <c r="D48" s="40"/>
      <c r="G48" s="5">
        <v>44286</v>
      </c>
      <c r="H48" s="41">
        <f t="shared" si="2"/>
        <v>182469.08271412805</v>
      </c>
    </row>
    <row r="49" spans="1:8" x14ac:dyDescent="0.35">
      <c r="A49" s="5">
        <v>44561</v>
      </c>
      <c r="B49" s="40">
        <v>32567</v>
      </c>
      <c r="C49" s="40">
        <f t="shared" si="0"/>
        <v>18598.323887431237</v>
      </c>
      <c r="D49" s="40"/>
      <c r="G49" s="5">
        <v>44316</v>
      </c>
      <c r="H49" s="41">
        <f t="shared" ref="H49:H50" si="3">SUM(C41:C44)</f>
        <v>131478.22481423843</v>
      </c>
    </row>
    <row r="50" spans="1:8" x14ac:dyDescent="0.35">
      <c r="A50" s="5">
        <v>44592</v>
      </c>
      <c r="B50" s="40">
        <v>59844</v>
      </c>
      <c r="C50" s="40">
        <f t="shared" si="0"/>
        <v>28376.39716622937</v>
      </c>
      <c r="D50" s="40"/>
      <c r="G50" s="5">
        <v>44347</v>
      </c>
      <c r="H50" s="41">
        <f t="shared" si="3"/>
        <v>83063.267444271522</v>
      </c>
    </row>
    <row r="51" spans="1:8" x14ac:dyDescent="0.35">
      <c r="A51" s="5">
        <v>44620</v>
      </c>
      <c r="B51" s="40">
        <v>21730</v>
      </c>
      <c r="C51" s="40">
        <f t="shared" si="0"/>
        <v>50403.719149868804</v>
      </c>
      <c r="D51" s="40"/>
      <c r="G51" s="5">
        <v>44377</v>
      </c>
      <c r="H51" s="41">
        <f t="shared" ref="H51:H57" si="4">SUM(C43:C46)</f>
        <v>52522.080233281464</v>
      </c>
    </row>
    <row r="52" spans="1:8" x14ac:dyDescent="0.35">
      <c r="A52" s="5">
        <v>44651</v>
      </c>
      <c r="B52" s="40">
        <v>32597</v>
      </c>
      <c r="C52" s="40">
        <f t="shared" si="0"/>
        <v>30332.11574496064</v>
      </c>
      <c r="D52" s="40"/>
      <c r="G52" s="5">
        <v>44408</v>
      </c>
      <c r="H52" s="41">
        <f t="shared" si="4"/>
        <v>42498.024069984443</v>
      </c>
    </row>
    <row r="53" spans="1:8" x14ac:dyDescent="0.35">
      <c r="A53" s="5">
        <v>44681</v>
      </c>
      <c r="B53" s="40">
        <v>25446</v>
      </c>
      <c r="C53" s="40">
        <f t="shared" si="0"/>
        <v>31917.534723488192</v>
      </c>
      <c r="D53" s="40"/>
      <c r="G53" s="5">
        <v>44439</v>
      </c>
      <c r="H53" s="41">
        <f t="shared" si="4"/>
        <v>43545.90722099533</v>
      </c>
    </row>
    <row r="54" spans="1:8" x14ac:dyDescent="0.35">
      <c r="A54" s="5">
        <v>44712</v>
      </c>
      <c r="B54" s="42">
        <v>49191</v>
      </c>
      <c r="C54" s="40">
        <f t="shared" si="0"/>
        <v>27387.460417046455</v>
      </c>
      <c r="D54" s="40"/>
      <c r="G54" s="5">
        <v>44469</v>
      </c>
      <c r="H54" s="41">
        <f t="shared" si="4"/>
        <v>52445.072166298596</v>
      </c>
    </row>
    <row r="55" spans="1:8" x14ac:dyDescent="0.35">
      <c r="A55" s="5">
        <v>44742</v>
      </c>
      <c r="B55" s="40">
        <v>32408</v>
      </c>
      <c r="C55" s="40">
        <f t="shared" si="0"/>
        <v>42649.938125113935</v>
      </c>
      <c r="D55" s="40"/>
      <c r="G55" s="5">
        <v>44500</v>
      </c>
      <c r="H55" s="41">
        <f t="shared" si="4"/>
        <v>70818.621649889566</v>
      </c>
    </row>
    <row r="56" spans="1:8" x14ac:dyDescent="0.35">
      <c r="A56" s="5">
        <v>44773</v>
      </c>
      <c r="B56" s="40">
        <v>28554</v>
      </c>
      <c r="C56" s="40">
        <f t="shared" si="0"/>
        <v>35480.58143753418</v>
      </c>
      <c r="D56" s="40"/>
      <c r="G56" s="5">
        <v>44530</v>
      </c>
      <c r="H56" s="41">
        <f t="shared" si="4"/>
        <v>110900.18649496687</v>
      </c>
    </row>
    <row r="57" spans="1:8" x14ac:dyDescent="0.35">
      <c r="A57" s="5">
        <v>44804</v>
      </c>
      <c r="B57" s="40">
        <v>44473</v>
      </c>
      <c r="C57" s="40">
        <f t="shared" si="0"/>
        <v>30631.974431260256</v>
      </c>
      <c r="D57" s="40"/>
      <c r="G57" s="5">
        <v>44561</v>
      </c>
      <c r="H57" s="41">
        <f t="shared" si="4"/>
        <v>127710.55594849004</v>
      </c>
    </row>
    <row r="58" spans="1:8" x14ac:dyDescent="0.35">
      <c r="A58" s="5">
        <v>44834</v>
      </c>
      <c r="B58" s="40">
        <v>42148</v>
      </c>
      <c r="C58" s="40">
        <f t="shared" si="0"/>
        <v>40320.692329378078</v>
      </c>
      <c r="D58" s="40"/>
      <c r="G58" s="5">
        <v>44592</v>
      </c>
      <c r="H58" s="41">
        <f t="shared" ref="H58:H82" si="5">SUM(C50:C53)</f>
        <v>141029.76678454701</v>
      </c>
    </row>
    <row r="59" spans="1:8" x14ac:dyDescent="0.35">
      <c r="A59" s="5">
        <v>44865</v>
      </c>
      <c r="B59" s="40">
        <v>40341</v>
      </c>
      <c r="C59" s="40">
        <f t="shared" si="0"/>
        <v>41599.807698813427</v>
      </c>
      <c r="D59" s="40"/>
      <c r="G59" s="5">
        <v>44620</v>
      </c>
      <c r="H59" s="41">
        <f t="shared" si="5"/>
        <v>140040.83003536408</v>
      </c>
    </row>
    <row r="60" spans="1:8" x14ac:dyDescent="0.35">
      <c r="A60" s="5">
        <v>44895</v>
      </c>
      <c r="B60" s="40">
        <v>41282</v>
      </c>
      <c r="C60" s="40">
        <f t="shared" si="0"/>
        <v>40718.642309644027</v>
      </c>
      <c r="D60" s="40"/>
      <c r="G60" s="5">
        <v>44651</v>
      </c>
      <c r="H60" s="41">
        <f t="shared" si="5"/>
        <v>132287.04901060922</v>
      </c>
    </row>
    <row r="61" spans="1:8" x14ac:dyDescent="0.35">
      <c r="A61" s="5">
        <v>44926</v>
      </c>
      <c r="B61" s="40">
        <v>40045</v>
      </c>
      <c r="C61" s="40">
        <f t="shared" si="0"/>
        <v>41112.992692893211</v>
      </c>
      <c r="D61" s="40"/>
      <c r="G61" s="5">
        <v>44681</v>
      </c>
      <c r="H61" s="41">
        <f t="shared" si="5"/>
        <v>137435.51470318277</v>
      </c>
    </row>
    <row r="62" spans="1:8" x14ac:dyDescent="0.35">
      <c r="A62" s="5">
        <v>44957</v>
      </c>
      <c r="B62" s="40">
        <v>30805</v>
      </c>
      <c r="C62" s="40">
        <f t="shared" si="0"/>
        <v>40365.397807867965</v>
      </c>
      <c r="D62" s="40"/>
      <c r="G62" s="5">
        <v>44712</v>
      </c>
      <c r="H62" s="41">
        <f t="shared" si="5"/>
        <v>136149.95441095482</v>
      </c>
    </row>
    <row r="63" spans="1:8" x14ac:dyDescent="0.35">
      <c r="A63" s="5">
        <v>44985</v>
      </c>
      <c r="B63" s="40">
        <v>36904</v>
      </c>
      <c r="C63" s="40">
        <f t="shared" si="0"/>
        <v>33673.119342360391</v>
      </c>
      <c r="D63" s="40"/>
      <c r="G63" s="5">
        <v>44742</v>
      </c>
      <c r="H63" s="41">
        <f t="shared" si="5"/>
        <v>149083.18632328644</v>
      </c>
    </row>
    <row r="64" spans="1:8" x14ac:dyDescent="0.35">
      <c r="A64" s="5">
        <v>45016</v>
      </c>
      <c r="B64" s="40">
        <v>47258</v>
      </c>
      <c r="C64" s="40">
        <f t="shared" si="0"/>
        <v>35934.735802708121</v>
      </c>
      <c r="D64" s="40"/>
      <c r="G64" s="5">
        <v>44773</v>
      </c>
      <c r="H64" s="41">
        <f t="shared" si="5"/>
        <v>148033.05589698593</v>
      </c>
    </row>
    <row r="65" spans="1:8" x14ac:dyDescent="0.35">
      <c r="A65" s="17">
        <v>45046</v>
      </c>
      <c r="B65" s="43">
        <v>33977</v>
      </c>
      <c r="C65" s="43">
        <f t="shared" si="0"/>
        <v>43861.020740812441</v>
      </c>
      <c r="D65" s="43"/>
      <c r="E65" s="18"/>
      <c r="G65" s="5">
        <v>44804</v>
      </c>
      <c r="H65" s="41">
        <f t="shared" si="5"/>
        <v>153271.11676909577</v>
      </c>
    </row>
    <row r="66" spans="1:8" x14ac:dyDescent="0.35">
      <c r="A66" s="5">
        <v>45077</v>
      </c>
      <c r="B66" s="40">
        <v>51732</v>
      </c>
      <c r="C66" s="40">
        <f t="shared" si="0"/>
        <v>36942.206222243731</v>
      </c>
      <c r="D66" s="40"/>
      <c r="E66" s="41">
        <f>C66-B66</f>
        <v>-14789.793777756269</v>
      </c>
      <c r="G66" s="5">
        <v>44834</v>
      </c>
      <c r="H66" s="41">
        <f t="shared" si="5"/>
        <v>163752.13503072876</v>
      </c>
    </row>
    <row r="67" spans="1:8" x14ac:dyDescent="0.35">
      <c r="A67" s="5">
        <v>45107</v>
      </c>
      <c r="B67" s="40">
        <v>42493</v>
      </c>
      <c r="C67" s="40">
        <f>($G$1*B65)+((1-$G$1)*C65)</f>
        <v>36942.206222243731</v>
      </c>
      <c r="D67" s="40"/>
      <c r="E67" s="41">
        <f t="shared" ref="E67:E77" si="6">C67-B67</f>
        <v>-5550.7937777562693</v>
      </c>
      <c r="G67" s="5">
        <v>44865</v>
      </c>
      <c r="H67" s="41">
        <f t="shared" si="5"/>
        <v>163796.84050921863</v>
      </c>
    </row>
    <row r="68" spans="1:8" x14ac:dyDescent="0.35">
      <c r="A68" s="5">
        <v>45138</v>
      </c>
      <c r="B68" s="40">
        <v>33368</v>
      </c>
      <c r="C68" s="40">
        <f>($G$1*B65)+((1-$G$1)*C65)</f>
        <v>36942.206222243731</v>
      </c>
      <c r="D68" s="40"/>
      <c r="E68" s="41">
        <f t="shared" si="6"/>
        <v>3574.2062222437307</v>
      </c>
      <c r="G68" s="5">
        <v>44895</v>
      </c>
      <c r="H68" s="41">
        <f t="shared" si="5"/>
        <v>155870.1521527656</v>
      </c>
    </row>
    <row r="69" spans="1:8" x14ac:dyDescent="0.35">
      <c r="A69" s="5">
        <v>45169</v>
      </c>
      <c r="B69" s="40">
        <v>52612</v>
      </c>
      <c r="C69" s="40">
        <f>($G$1*B65)+((1-$G$1)*C65)</f>
        <v>36942.206222243731</v>
      </c>
      <c r="D69" s="40"/>
      <c r="E69" s="41">
        <f t="shared" si="6"/>
        <v>-15669.793777756269</v>
      </c>
      <c r="G69" s="5">
        <v>44926</v>
      </c>
      <c r="H69" s="41">
        <f t="shared" si="5"/>
        <v>151086.24564582971</v>
      </c>
    </row>
    <row r="70" spans="1:8" x14ac:dyDescent="0.35">
      <c r="A70" s="5">
        <v>45199</v>
      </c>
      <c r="B70" s="40">
        <v>52467</v>
      </c>
      <c r="C70" s="40">
        <f>($G$1*B65)+((1-$G$1)*C65)</f>
        <v>36942.206222243731</v>
      </c>
      <c r="D70" s="40"/>
      <c r="E70" s="41">
        <f t="shared" si="6"/>
        <v>-15524.793777756269</v>
      </c>
      <c r="G70" s="5">
        <v>44957</v>
      </c>
      <c r="H70" s="41">
        <f t="shared" si="5"/>
        <v>153834.27369374892</v>
      </c>
    </row>
    <row r="71" spans="1:8" x14ac:dyDescent="0.35">
      <c r="A71" s="5">
        <v>45230</v>
      </c>
      <c r="B71" s="40">
        <v>42235</v>
      </c>
      <c r="C71" s="40">
        <f>($G$1*B65)+((1-$G$1)*C65)</f>
        <v>36942.206222243731</v>
      </c>
      <c r="D71" s="40"/>
      <c r="E71" s="41">
        <f t="shared" si="6"/>
        <v>-5292.7937777562693</v>
      </c>
      <c r="G71" s="5">
        <v>44985</v>
      </c>
      <c r="H71" s="41">
        <f t="shared" si="5"/>
        <v>150411.08210812468</v>
      </c>
    </row>
    <row r="72" spans="1:8" x14ac:dyDescent="0.35">
      <c r="A72" s="5">
        <v>45260</v>
      </c>
      <c r="B72" s="40">
        <v>59404</v>
      </c>
      <c r="C72" s="40">
        <f>($G$1*B65)+((1-$G$1)*C65)</f>
        <v>36942.206222243731</v>
      </c>
      <c r="D72" s="40"/>
      <c r="E72" s="41">
        <f t="shared" si="6"/>
        <v>-22461.793777756269</v>
      </c>
      <c r="G72" s="5">
        <v>45016</v>
      </c>
      <c r="H72" s="41">
        <f t="shared" si="5"/>
        <v>153680.16898800802</v>
      </c>
    </row>
    <row r="73" spans="1:8" x14ac:dyDescent="0.35">
      <c r="A73" s="5">
        <v>45291</v>
      </c>
      <c r="B73" s="40">
        <v>52434</v>
      </c>
      <c r="C73" s="40">
        <f>($G$1*B65)+((1-$G$1)*C65)</f>
        <v>36942.206222243731</v>
      </c>
      <c r="D73" s="40"/>
      <c r="E73" s="41">
        <f t="shared" si="6"/>
        <v>-15491.793777756269</v>
      </c>
      <c r="G73" s="5">
        <v>45046</v>
      </c>
      <c r="H73" s="41">
        <f t="shared" si="5"/>
        <v>154687.63940754361</v>
      </c>
    </row>
    <row r="74" spans="1:8" x14ac:dyDescent="0.35">
      <c r="A74" s="5">
        <v>45322</v>
      </c>
      <c r="B74" s="40">
        <v>52855</v>
      </c>
      <c r="C74" s="40">
        <f>($G$1*B65)+((1-$G$1)*C65)</f>
        <v>36942.206222243731</v>
      </c>
      <c r="D74" s="40"/>
      <c r="E74" s="41">
        <f t="shared" si="6"/>
        <v>-15912.793777756269</v>
      </c>
      <c r="G74" s="5">
        <v>45077</v>
      </c>
      <c r="H74" s="41">
        <f t="shared" si="5"/>
        <v>147768.82488897492</v>
      </c>
    </row>
    <row r="75" spans="1:8" x14ac:dyDescent="0.35">
      <c r="A75" s="5">
        <v>45351</v>
      </c>
      <c r="B75" s="40">
        <v>45697</v>
      </c>
      <c r="C75" s="40">
        <f>($G$1*B65)+((1-$G$1)*C65)</f>
        <v>36942.206222243731</v>
      </c>
      <c r="D75" s="40"/>
      <c r="E75" s="41">
        <f t="shared" si="6"/>
        <v>-8754.7937777562693</v>
      </c>
      <c r="G75" s="5">
        <v>45107</v>
      </c>
      <c r="H75" s="41">
        <f t="shared" si="5"/>
        <v>147768.82488897492</v>
      </c>
    </row>
    <row r="76" spans="1:8" x14ac:dyDescent="0.35">
      <c r="A76" s="5">
        <v>45382</v>
      </c>
      <c r="B76" s="24">
        <v>42815</v>
      </c>
      <c r="C76" s="40">
        <f>($G$1*B65)+((1-$G$1)*C65)</f>
        <v>36942.206222243731</v>
      </c>
      <c r="D76" s="40"/>
      <c r="E76" s="41">
        <f t="shared" si="6"/>
        <v>-5872.7937777562693</v>
      </c>
      <c r="G76" s="5">
        <v>45138</v>
      </c>
      <c r="H76" s="41">
        <f t="shared" si="5"/>
        <v>147768.82488897492</v>
      </c>
    </row>
    <row r="77" spans="1:8" x14ac:dyDescent="0.35">
      <c r="A77" s="5">
        <v>45412</v>
      </c>
      <c r="B77" s="24">
        <v>35800</v>
      </c>
      <c r="C77" s="40">
        <f>($G$1*B65)+((1-$G$1)*C65)</f>
        <v>36942.206222243731</v>
      </c>
      <c r="D77" s="40"/>
      <c r="E77" s="41">
        <f t="shared" si="6"/>
        <v>1142.2062222437307</v>
      </c>
      <c r="G77" s="5">
        <v>45169</v>
      </c>
      <c r="H77" s="41">
        <f t="shared" si="5"/>
        <v>147768.82488897492</v>
      </c>
    </row>
    <row r="78" spans="1:8" x14ac:dyDescent="0.35">
      <c r="A78" s="5">
        <v>45443</v>
      </c>
      <c r="C78" s="40">
        <f>($G$1*B65)+((1-$G$1)*C65)</f>
        <v>36942.206222243731</v>
      </c>
      <c r="D78" s="40"/>
      <c r="G78" s="5">
        <v>45199</v>
      </c>
      <c r="H78" s="41">
        <f t="shared" si="5"/>
        <v>147768.82488897492</v>
      </c>
    </row>
    <row r="79" spans="1:8" x14ac:dyDescent="0.35">
      <c r="A79" s="5">
        <v>45473</v>
      </c>
      <c r="C79" s="40">
        <f>($G$1*B65)+((1-$G$1)*C65)</f>
        <v>36942.206222243731</v>
      </c>
      <c r="D79" s="40"/>
      <c r="G79" s="5">
        <v>45230</v>
      </c>
      <c r="H79" s="41">
        <f t="shared" si="5"/>
        <v>147768.82488897492</v>
      </c>
    </row>
    <row r="80" spans="1:8" x14ac:dyDescent="0.35">
      <c r="A80" s="5">
        <v>45504</v>
      </c>
      <c r="C80">
        <f>($G$1*B65)+((1-$G$1)*C65)</f>
        <v>36942.206222243731</v>
      </c>
      <c r="G80" s="5">
        <v>45260</v>
      </c>
      <c r="H80" s="41">
        <f t="shared" si="5"/>
        <v>147768.82488897492</v>
      </c>
    </row>
    <row r="81" spans="1:11" x14ac:dyDescent="0.35">
      <c r="A81" s="5">
        <v>45535</v>
      </c>
      <c r="C81">
        <f>($G$1*B65)+((1-$G$1)*C65)</f>
        <v>36942.206222243731</v>
      </c>
      <c r="D81" s="24">
        <f>C81*one_third!K14</f>
        <v>10410.883161685955</v>
      </c>
      <c r="G81" s="5">
        <v>45291</v>
      </c>
      <c r="H81" s="41">
        <f t="shared" si="5"/>
        <v>147768.82488897492</v>
      </c>
    </row>
    <row r="82" spans="1:11" x14ac:dyDescent="0.35">
      <c r="A82" s="5">
        <v>45565</v>
      </c>
      <c r="C82">
        <f>($G$1*B65)+((1-$G$1)*C65)</f>
        <v>36942.206222243731</v>
      </c>
      <c r="D82" s="24">
        <f>C82</f>
        <v>36942.206222243731</v>
      </c>
      <c r="G82" s="5">
        <v>45322</v>
      </c>
      <c r="H82" s="41">
        <f t="shared" si="5"/>
        <v>147768.82488897492</v>
      </c>
    </row>
    <row r="83" spans="1:11" x14ac:dyDescent="0.35">
      <c r="A83" s="5">
        <v>45596</v>
      </c>
      <c r="C83">
        <f>($G$1*B65)+((1-$G$1)*C65)</f>
        <v>36942.206222243731</v>
      </c>
      <c r="D83" s="24">
        <f>C83</f>
        <v>36942.206222243731</v>
      </c>
      <c r="G83" s="5">
        <v>45351</v>
      </c>
      <c r="H83" s="41">
        <f>SUM(C75:C78)</f>
        <v>147768.82488897492</v>
      </c>
    </row>
    <row r="84" spans="1:11" x14ac:dyDescent="0.35">
      <c r="A84" s="5">
        <v>45626</v>
      </c>
      <c r="C84">
        <f>($G$1*B65)+((1-$G$1)*C65)</f>
        <v>36942.206222243731</v>
      </c>
      <c r="D84" s="24">
        <f>C84</f>
        <v>36942.206222243731</v>
      </c>
      <c r="G84" s="5">
        <v>45382</v>
      </c>
      <c r="H84" s="41">
        <f>SUM(C76:C79)</f>
        <v>147768.82488897492</v>
      </c>
    </row>
    <row r="85" spans="1:11" x14ac:dyDescent="0.35">
      <c r="A85" s="5">
        <v>45657</v>
      </c>
      <c r="C85">
        <f>($G$1*B65)+((1-$G$1)*C65)</f>
        <v>36942.206222243731</v>
      </c>
      <c r="D85" s="24">
        <f>C85*one_third!K12</f>
        <v>14041.406433832934</v>
      </c>
      <c r="G85" s="5">
        <v>45412</v>
      </c>
      <c r="H85" s="41">
        <f>SUM(C77:C80)</f>
        <v>147768.82488897492</v>
      </c>
    </row>
    <row r="86" spans="1:11" x14ac:dyDescent="0.35">
      <c r="G86" s="5" t="s">
        <v>24</v>
      </c>
      <c r="H86" s="41">
        <f>SUM(C78:C81)</f>
        <v>147768.82488897492</v>
      </c>
    </row>
    <row r="95" spans="1:11" x14ac:dyDescent="0.35">
      <c r="G95" s="13" t="s">
        <v>13</v>
      </c>
      <c r="H95" s="13" t="s">
        <v>18</v>
      </c>
      <c r="I95" s="13" t="s">
        <v>14</v>
      </c>
      <c r="J95" s="13" t="s">
        <v>15</v>
      </c>
      <c r="K95" s="13" t="s">
        <v>16</v>
      </c>
    </row>
    <row r="96" spans="1:11" x14ac:dyDescent="0.35">
      <c r="G96" s="34" cm="1">
        <f t="array" ref="G96">SUMPRODUCT(ABS($B$54:$B$65-$C$54:$C$65))/COUNT($C$54:$C$65)</f>
        <v>7627.4261558864855</v>
      </c>
      <c r="H96" s="36">
        <f>(SUMXMY2($B$54:$B$65,$C$54:$C$65)/COUNT($C$54:$C$65))^0.5</f>
        <v>9806.35320718804</v>
      </c>
      <c r="I96" s="33" cm="1">
        <f t="array" ref="I96">SUMPRODUCT(ABS(1-$C$54:$C$65/$B$54:$B$65))/COUNT($C$54:$C$65)</f>
        <v>0.19636325701278559</v>
      </c>
      <c r="J96" s="34" cm="1">
        <f t="array" ref="J96">SUM($C$54:$C$65-$B$54:$B$65)</f>
        <v>-13649.636864567514</v>
      </c>
      <c r="K96" s="34" cm="1">
        <f t="array" ref="K96">MIN($C$54:$C$65-$B$54:$B$65)</f>
        <v>-21803.539582953545</v>
      </c>
    </row>
    <row r="97" spans="7:11" x14ac:dyDescent="0.35">
      <c r="G97" s="34" cm="1">
        <f t="array" ref="G97">SUMPRODUCT(ABS($B$66:$B$77-$C$66:$C$77))/COUNT($C$66:$C$77)</f>
        <v>10836.529185170848</v>
      </c>
      <c r="H97" s="36">
        <f>(SUMXMY2($B$66:$B$77,$C$66:$C$77)/COUNT($C$66:$C$77))^0.5</f>
        <v>12540.219304321023</v>
      </c>
      <c r="I97" s="33" cm="1">
        <f t="array" ref="I97">SUMPRODUCT(ABS(1-$C$66:$C$77/$B$66:$B$77))/COUNT($C$66:$C$77)</f>
        <v>0.21483164143838532</v>
      </c>
      <c r="J97" s="34" cm="1">
        <f t="array" ref="J97">SUM($C$66:$C$77-$B$66:$B$77)</f>
        <v>-120605.52533307526</v>
      </c>
      <c r="K97" s="34" cm="1">
        <f t="array" ref="K97">MIN($C$66:$C$77-$B$66:$B$77)</f>
        <v>-22461.793777756269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3CC1D-CEF0-4264-955B-DD0260672877}">
  <sheetPr>
    <tabColor rgb="FF92D050"/>
  </sheetPr>
  <dimension ref="A1:K97"/>
  <sheetViews>
    <sheetView workbookViewId="0">
      <pane ySplit="1" topLeftCell="A71" activePane="bottomLeft" state="frozen"/>
      <selection pane="bottomLeft" activeCell="D81" sqref="D81"/>
    </sheetView>
  </sheetViews>
  <sheetFormatPr defaultRowHeight="14.5" x14ac:dyDescent="0.35"/>
  <cols>
    <col min="1" max="1" width="10.54296875" bestFit="1" customWidth="1"/>
    <col min="2" max="2" width="10.08984375" bestFit="1" customWidth="1"/>
    <col min="3" max="3" width="8.54296875" bestFit="1" customWidth="1"/>
    <col min="4" max="4" width="11.81640625" bestFit="1" customWidth="1"/>
    <col min="7" max="7" width="11.81640625" bestFit="1" customWidth="1"/>
    <col min="8" max="8" width="15" bestFit="1" customWidth="1"/>
    <col min="9" max="9" width="6.90625" bestFit="1" customWidth="1"/>
    <col min="10" max="10" width="8.6328125" bestFit="1" customWidth="1"/>
  </cols>
  <sheetData>
    <row r="1" spans="1:7" x14ac:dyDescent="0.35">
      <c r="A1" t="s">
        <v>21</v>
      </c>
      <c r="B1" s="39" t="s">
        <v>5</v>
      </c>
      <c r="C1" t="s">
        <v>9</v>
      </c>
      <c r="D1" s="13" t="s">
        <v>49</v>
      </c>
      <c r="F1" t="s">
        <v>10</v>
      </c>
      <c r="G1">
        <v>7.5993354381355483E-3</v>
      </c>
    </row>
    <row r="2" spans="1:7" x14ac:dyDescent="0.35">
      <c r="A2" s="5">
        <v>43131</v>
      </c>
      <c r="B2" s="40">
        <v>34890</v>
      </c>
      <c r="C2" s="40">
        <v>34890</v>
      </c>
      <c r="D2" s="40"/>
    </row>
    <row r="3" spans="1:7" x14ac:dyDescent="0.35">
      <c r="A3" s="5">
        <v>43159</v>
      </c>
      <c r="B3" s="40">
        <v>25830</v>
      </c>
      <c r="C3" s="40">
        <f>($G$1*B2)+((1-$G$1)*C2)</f>
        <v>34890</v>
      </c>
      <c r="D3" s="40"/>
      <c r="E3" s="41"/>
    </row>
    <row r="4" spans="1:7" x14ac:dyDescent="0.35">
      <c r="A4" s="5">
        <v>43190</v>
      </c>
      <c r="B4" s="40">
        <v>41054</v>
      </c>
      <c r="C4" s="40">
        <f t="shared" ref="C4:C66" si="0">($G$1*B3)+((1-$G$1)*C3)</f>
        <v>34821.150020930494</v>
      </c>
      <c r="D4" s="40"/>
    </row>
    <row r="5" spans="1:7" x14ac:dyDescent="0.35">
      <c r="A5" s="5">
        <v>43220</v>
      </c>
      <c r="B5" s="40">
        <v>36838</v>
      </c>
      <c r="C5" s="40">
        <f t="shared" si="0"/>
        <v>34868.515538657019</v>
      </c>
      <c r="D5" s="40"/>
    </row>
    <row r="6" spans="1:7" x14ac:dyDescent="0.35">
      <c r="A6" s="5">
        <v>43251</v>
      </c>
      <c r="B6" s="40">
        <v>56808</v>
      </c>
      <c r="C6" s="40">
        <f t="shared" si="0"/>
        <v>34883.482311718959</v>
      </c>
      <c r="D6" s="40"/>
    </row>
    <row r="7" spans="1:7" x14ac:dyDescent="0.35">
      <c r="A7" s="5">
        <v>43281</v>
      </c>
      <c r="B7" s="40">
        <v>34939</v>
      </c>
      <c r="C7" s="40">
        <f t="shared" si="0"/>
        <v>35050.094075951543</v>
      </c>
      <c r="D7" s="40"/>
    </row>
    <row r="8" spans="1:7" x14ac:dyDescent="0.35">
      <c r="A8" s="5">
        <v>43312</v>
      </c>
      <c r="B8" s="40">
        <v>41853</v>
      </c>
      <c r="C8" s="40">
        <f t="shared" si="0"/>
        <v>35049.249834803195</v>
      </c>
      <c r="D8" s="40"/>
    </row>
    <row r="9" spans="1:7" x14ac:dyDescent="0.35">
      <c r="A9" s="5">
        <v>43343</v>
      </c>
      <c r="B9" s="40">
        <v>58036</v>
      </c>
      <c r="C9" s="40">
        <f t="shared" si="0"/>
        <v>35100.953814545792</v>
      </c>
      <c r="D9" s="40"/>
    </row>
    <row r="10" spans="1:7" x14ac:dyDescent="0.35">
      <c r="A10" s="5">
        <v>43373</v>
      </c>
      <c r="B10" s="40">
        <v>42879</v>
      </c>
      <c r="C10" s="40">
        <f t="shared" si="0"/>
        <v>35275.244923798193</v>
      </c>
      <c r="D10" s="40"/>
    </row>
    <row r="11" spans="1:7" x14ac:dyDescent="0.35">
      <c r="A11" s="5">
        <v>43404</v>
      </c>
      <c r="B11" s="40">
        <v>54081</v>
      </c>
      <c r="C11" s="40">
        <f t="shared" si="0"/>
        <v>35333.028409211678</v>
      </c>
      <c r="D11" s="40"/>
    </row>
    <row r="12" spans="1:7" x14ac:dyDescent="0.35">
      <c r="A12" s="5">
        <v>43434</v>
      </c>
      <c r="B12" s="40">
        <v>31764</v>
      </c>
      <c r="C12" s="40">
        <f t="shared" si="0"/>
        <v>35475.500534114712</v>
      </c>
      <c r="D12" s="40"/>
    </row>
    <row r="13" spans="1:7" x14ac:dyDescent="0.35">
      <c r="A13" s="5">
        <v>43465</v>
      </c>
      <c r="B13" s="40">
        <v>45101</v>
      </c>
      <c r="C13" s="40">
        <f t="shared" si="0"/>
        <v>35447.295596577154</v>
      </c>
      <c r="D13" s="40"/>
    </row>
    <row r="14" spans="1:7" x14ac:dyDescent="0.35">
      <c r="A14" s="5">
        <v>43496</v>
      </c>
      <c r="B14" s="40">
        <v>61974</v>
      </c>
      <c r="C14" s="40">
        <f t="shared" si="0"/>
        <v>35520.657334559372</v>
      </c>
      <c r="D14" s="40"/>
    </row>
    <row r="15" spans="1:7" x14ac:dyDescent="0.35">
      <c r="A15" s="5">
        <v>43524</v>
      </c>
      <c r="B15" s="40">
        <v>37927</v>
      </c>
      <c r="C15" s="40">
        <f t="shared" si="0"/>
        <v>35721.685158934</v>
      </c>
      <c r="D15" s="40"/>
    </row>
    <row r="16" spans="1:7" x14ac:dyDescent="0.35">
      <c r="A16" s="5">
        <v>43555</v>
      </c>
      <c r="B16" s="40">
        <v>59679</v>
      </c>
      <c r="C16" s="40">
        <f t="shared" si="0"/>
        <v>35738.444086157957</v>
      </c>
      <c r="D16" s="40"/>
    </row>
    <row r="17" spans="1:4" x14ac:dyDescent="0.35">
      <c r="A17" s="5">
        <v>43585</v>
      </c>
      <c r="B17" s="40">
        <v>56163</v>
      </c>
      <c r="C17" s="40">
        <f t="shared" si="0"/>
        <v>35920.376401122681</v>
      </c>
      <c r="D17" s="40"/>
    </row>
    <row r="18" spans="1:4" x14ac:dyDescent="0.35">
      <c r="A18" s="5">
        <v>43616</v>
      </c>
      <c r="B18" s="40">
        <v>118501</v>
      </c>
      <c r="C18" s="40">
        <f t="shared" si="0"/>
        <v>36074.206887998473</v>
      </c>
      <c r="D18" s="40"/>
    </row>
    <row r="19" spans="1:4" x14ac:dyDescent="0.35">
      <c r="A19" s="5">
        <v>43646</v>
      </c>
      <c r="B19" s="40">
        <v>78698</v>
      </c>
      <c r="C19" s="40">
        <f t="shared" si="0"/>
        <v>36700.59573794638</v>
      </c>
      <c r="D19" s="40"/>
    </row>
    <row r="20" spans="1:4" x14ac:dyDescent="0.35">
      <c r="A20" s="5">
        <v>43677</v>
      </c>
      <c r="B20" s="40">
        <v>109530</v>
      </c>
      <c r="C20" s="40">
        <f t="shared" si="0"/>
        <v>37019.748100464712</v>
      </c>
      <c r="D20" s="40"/>
    </row>
    <row r="21" spans="1:4" x14ac:dyDescent="0.35">
      <c r="A21" s="5">
        <v>43708</v>
      </c>
      <c r="B21" s="40">
        <v>116775</v>
      </c>
      <c r="C21" s="40">
        <f t="shared" si="0"/>
        <v>37570.777827352991</v>
      </c>
      <c r="D21" s="40"/>
    </row>
    <row r="22" spans="1:4" x14ac:dyDescent="0.35">
      <c r="A22" s="5">
        <v>43738</v>
      </c>
      <c r="B22" s="40">
        <v>115435</v>
      </c>
      <c r="C22" s="40">
        <f t="shared" si="0"/>
        <v>38172.677279759548</v>
      </c>
      <c r="D22" s="40"/>
    </row>
    <row r="23" spans="1:4" x14ac:dyDescent="0.35">
      <c r="A23" s="5">
        <v>43769</v>
      </c>
      <c r="B23" s="40">
        <v>100006</v>
      </c>
      <c r="C23" s="40">
        <f t="shared" si="0"/>
        <v>38759.819586840138</v>
      </c>
      <c r="D23" s="40"/>
    </row>
    <row r="24" spans="1:4" x14ac:dyDescent="0.35">
      <c r="A24" s="5">
        <v>43799</v>
      </c>
      <c r="B24" s="40">
        <v>105375</v>
      </c>
      <c r="C24" s="40">
        <f t="shared" si="0"/>
        <v>39225.249856104303</v>
      </c>
      <c r="D24" s="40"/>
    </row>
    <row r="25" spans="1:4" x14ac:dyDescent="0.35">
      <c r="A25" s="5">
        <v>43830</v>
      </c>
      <c r="B25" s="40">
        <v>106477</v>
      </c>
      <c r="C25" s="40">
        <f t="shared" si="0"/>
        <v>39727.943996596623</v>
      </c>
      <c r="D25" s="40"/>
    </row>
    <row r="26" spans="1:4" x14ac:dyDescent="0.35">
      <c r="A26" s="5">
        <v>43861</v>
      </c>
      <c r="B26" s="40">
        <v>82087</v>
      </c>
      <c r="C26" s="40">
        <f t="shared" si="0"/>
        <v>40235.192463345382</v>
      </c>
      <c r="D26" s="40"/>
    </row>
    <row r="27" spans="1:4" x14ac:dyDescent="0.35">
      <c r="A27" s="5">
        <v>43890</v>
      </c>
      <c r="B27" s="40">
        <v>90055</v>
      </c>
      <c r="C27" s="40">
        <f t="shared" si="0"/>
        <v>40553.238387508711</v>
      </c>
      <c r="D27" s="40"/>
    </row>
    <row r="28" spans="1:4" x14ac:dyDescent="0.35">
      <c r="A28" s="5">
        <v>43921</v>
      </c>
      <c r="B28" s="40">
        <v>77921</v>
      </c>
      <c r="C28" s="40">
        <f t="shared" si="0"/>
        <v>40929.418878780649</v>
      </c>
      <c r="D28" s="40"/>
    </row>
    <row r="29" spans="1:4" x14ac:dyDescent="0.35">
      <c r="A29" s="5">
        <v>43951</v>
      </c>
      <c r="B29" s="40">
        <v>31224</v>
      </c>
      <c r="C29" s="40">
        <f t="shared" si="0"/>
        <v>41210.530312107796</v>
      </c>
      <c r="D29" s="40"/>
    </row>
    <row r="30" spans="1:4" x14ac:dyDescent="0.35">
      <c r="A30" s="5">
        <v>43982</v>
      </c>
      <c r="B30" s="40">
        <v>23641</v>
      </c>
      <c r="C30" s="40">
        <f t="shared" si="0"/>
        <v>41134.63931840298</v>
      </c>
      <c r="D30" s="40"/>
    </row>
    <row r="31" spans="1:4" x14ac:dyDescent="0.35">
      <c r="A31" s="5">
        <v>44012</v>
      </c>
      <c r="B31" s="40">
        <v>36735</v>
      </c>
      <c r="C31" s="40">
        <f t="shared" si="0"/>
        <v>41001.699285188675</v>
      </c>
      <c r="D31" s="40"/>
    </row>
    <row r="32" spans="1:4" x14ac:dyDescent="0.35">
      <c r="A32" s="5">
        <v>44043</v>
      </c>
      <c r="B32" s="40">
        <v>44506</v>
      </c>
      <c r="C32" s="40">
        <f t="shared" si="0"/>
        <v>40969.275206106875</v>
      </c>
      <c r="D32" s="40"/>
    </row>
    <row r="33" spans="1:8" x14ac:dyDescent="0.35">
      <c r="A33" s="5">
        <v>44074</v>
      </c>
      <c r="B33" s="40">
        <v>55883</v>
      </c>
      <c r="C33" s="40">
        <f t="shared" si="0"/>
        <v>40996.151964168042</v>
      </c>
      <c r="D33" s="40"/>
    </row>
    <row r="34" spans="1:8" x14ac:dyDescent="0.35">
      <c r="A34" s="5">
        <v>44104</v>
      </c>
      <c r="B34" s="40">
        <v>68914</v>
      </c>
      <c r="C34" s="40">
        <f t="shared" si="0"/>
        <v>41109.282116008879</v>
      </c>
      <c r="D34" s="40"/>
    </row>
    <row r="35" spans="1:8" x14ac:dyDescent="0.35">
      <c r="A35" s="5">
        <v>44135</v>
      </c>
      <c r="B35" s="40">
        <v>47439</v>
      </c>
      <c r="C35" s="40">
        <f t="shared" si="0"/>
        <v>41320.579493972058</v>
      </c>
      <c r="D35" s="40"/>
    </row>
    <row r="36" spans="1:8" x14ac:dyDescent="0.35">
      <c r="A36" s="5">
        <v>44165</v>
      </c>
      <c r="B36" s="40">
        <v>75926</v>
      </c>
      <c r="C36" s="40">
        <f t="shared" si="0"/>
        <v>41367.075423748931</v>
      </c>
      <c r="D36" s="40"/>
    </row>
    <row r="37" spans="1:8" x14ac:dyDescent="0.35">
      <c r="A37" s="5">
        <v>44196</v>
      </c>
      <c r="B37" s="40">
        <v>67387</v>
      </c>
      <c r="C37" s="40">
        <f t="shared" si="0"/>
        <v>41629.70028398509</v>
      </c>
      <c r="D37" s="40"/>
    </row>
    <row r="38" spans="1:8" x14ac:dyDescent="0.35">
      <c r="A38" s="5">
        <v>44227</v>
      </c>
      <c r="B38" s="40">
        <v>60442</v>
      </c>
      <c r="C38" s="40">
        <f>($G$1*B37)+((1-$G$1)*C37)</f>
        <v>41825.438644507682</v>
      </c>
      <c r="D38" s="40"/>
      <c r="G38" t="s">
        <v>22</v>
      </c>
      <c r="H38" t="s">
        <v>23</v>
      </c>
    </row>
    <row r="39" spans="1:8" x14ac:dyDescent="0.35">
      <c r="A39" s="5">
        <v>44255</v>
      </c>
      <c r="B39" s="40">
        <v>63811</v>
      </c>
      <c r="C39" s="40">
        <f t="shared" si="0"/>
        <v>41966.912138952699</v>
      </c>
      <c r="D39" s="40"/>
      <c r="G39" s="5">
        <v>44012</v>
      </c>
      <c r="H39" s="41">
        <f t="shared" ref="H39:H42" si="1">SUM(C31:C34)</f>
        <v>164076.40857147245</v>
      </c>
    </row>
    <row r="40" spans="1:8" x14ac:dyDescent="0.35">
      <c r="A40" s="5">
        <v>44286</v>
      </c>
      <c r="B40" s="40">
        <v>55821</v>
      </c>
      <c r="C40" s="40">
        <f t="shared" si="0"/>
        <v>42132.912689948906</v>
      </c>
      <c r="D40" s="40"/>
      <c r="G40" s="5">
        <v>44043</v>
      </c>
      <c r="H40" s="41">
        <f t="shared" si="1"/>
        <v>164395.28878025585</v>
      </c>
    </row>
    <row r="41" spans="1:8" x14ac:dyDescent="0.35">
      <c r="A41" s="5">
        <v>44316</v>
      </c>
      <c r="B41" s="40">
        <v>33014</v>
      </c>
      <c r="C41" s="40">
        <f t="shared" si="0"/>
        <v>42236.933056924478</v>
      </c>
      <c r="D41" s="40"/>
      <c r="G41" s="5">
        <v>44074</v>
      </c>
      <c r="H41" s="41">
        <f t="shared" si="1"/>
        <v>164793.08899789792</v>
      </c>
    </row>
    <row r="42" spans="1:8" x14ac:dyDescent="0.35">
      <c r="A42" s="5">
        <v>44347</v>
      </c>
      <c r="B42" s="40">
        <v>11690</v>
      </c>
      <c r="C42" s="40">
        <f t="shared" si="0"/>
        <v>42166.844894901442</v>
      </c>
      <c r="D42" s="40"/>
      <c r="G42" s="5">
        <v>44104</v>
      </c>
      <c r="H42" s="41">
        <f t="shared" si="1"/>
        <v>165426.63731771495</v>
      </c>
    </row>
    <row r="43" spans="1:8" x14ac:dyDescent="0.35">
      <c r="A43" s="5">
        <v>44377</v>
      </c>
      <c r="B43" s="40">
        <v>9100</v>
      </c>
      <c r="C43" s="40">
        <f t="shared" si="0"/>
        <v>41935.241127449059</v>
      </c>
      <c r="D43" s="40"/>
      <c r="G43" s="5">
        <v>44135</v>
      </c>
      <c r="H43" s="41">
        <f t="shared" ref="H43:H48" si="2">SUM(C35:C38)</f>
        <v>166142.79384621378</v>
      </c>
    </row>
    <row r="44" spans="1:8" x14ac:dyDescent="0.35">
      <c r="A44" s="5">
        <v>44408</v>
      </c>
      <c r="B44" s="40">
        <v>8510</v>
      </c>
      <c r="C44" s="40">
        <f t="shared" si="0"/>
        <v>41685.71511592951</v>
      </c>
      <c r="D44" s="40"/>
      <c r="G44" s="5">
        <v>44165</v>
      </c>
      <c r="H44" s="41">
        <f t="shared" si="2"/>
        <v>166789.12649119442</v>
      </c>
    </row>
    <row r="45" spans="1:8" x14ac:dyDescent="0.35">
      <c r="A45" s="5">
        <v>44439</v>
      </c>
      <c r="B45" s="40">
        <v>10133</v>
      </c>
      <c r="C45" s="40">
        <f t="shared" si="0"/>
        <v>41433.601728363537</v>
      </c>
      <c r="D45" s="40"/>
      <c r="G45" s="5">
        <v>44196</v>
      </c>
      <c r="H45" s="41">
        <f t="shared" si="2"/>
        <v>167554.96375739438</v>
      </c>
    </row>
    <row r="46" spans="1:8" x14ac:dyDescent="0.35">
      <c r="A46" s="5">
        <v>44469</v>
      </c>
      <c r="B46" s="40">
        <v>10459</v>
      </c>
      <c r="C46" s="40">
        <f t="shared" si="0"/>
        <v>41195.737956414217</v>
      </c>
      <c r="D46" s="40"/>
      <c r="G46" s="5">
        <v>44227</v>
      </c>
      <c r="H46" s="41">
        <f t="shared" si="2"/>
        <v>168162.19653033378</v>
      </c>
    </row>
    <row r="47" spans="1:8" x14ac:dyDescent="0.35">
      <c r="A47" s="5">
        <v>44500</v>
      </c>
      <c r="B47" s="40">
        <v>14893</v>
      </c>
      <c r="C47" s="40">
        <f t="shared" si="0"/>
        <v>40962.15917440936</v>
      </c>
      <c r="D47" s="40"/>
      <c r="G47" s="5">
        <v>44255</v>
      </c>
      <c r="H47" s="41">
        <f t="shared" si="2"/>
        <v>168503.60278072752</v>
      </c>
    </row>
    <row r="48" spans="1:8" x14ac:dyDescent="0.35">
      <c r="A48" s="5">
        <v>44530</v>
      </c>
      <c r="B48" s="40">
        <v>20774</v>
      </c>
      <c r="C48" s="40">
        <f t="shared" si="0"/>
        <v>40764.050889252881</v>
      </c>
      <c r="D48" s="40"/>
      <c r="G48" s="5">
        <v>44286</v>
      </c>
      <c r="H48" s="41">
        <f t="shared" si="2"/>
        <v>168471.93176922388</v>
      </c>
    </row>
    <row r="49" spans="1:8" x14ac:dyDescent="0.35">
      <c r="A49" s="5">
        <v>44561</v>
      </c>
      <c r="B49" s="40">
        <v>32567</v>
      </c>
      <c r="C49" s="40">
        <f t="shared" si="0"/>
        <v>40612.139787120046</v>
      </c>
      <c r="D49" s="40"/>
      <c r="G49" s="5">
        <v>44316</v>
      </c>
      <c r="H49" s="41">
        <f t="shared" ref="H49:H50" si="3">SUM(C41:C44)</f>
        <v>168024.73419520448</v>
      </c>
    </row>
    <row r="50" spans="1:8" x14ac:dyDescent="0.35">
      <c r="A50" s="5">
        <v>44592</v>
      </c>
      <c r="B50" s="40">
        <v>59844</v>
      </c>
      <c r="C50" s="40">
        <f t="shared" si="0"/>
        <v>40551.002071231029</v>
      </c>
      <c r="D50" s="40"/>
      <c r="G50" s="5">
        <v>44347</v>
      </c>
      <c r="H50" s="41">
        <f t="shared" si="3"/>
        <v>167221.40286664356</v>
      </c>
    </row>
    <row r="51" spans="1:8" x14ac:dyDescent="0.35">
      <c r="A51" s="5">
        <v>44620</v>
      </c>
      <c r="B51" s="40">
        <v>21730</v>
      </c>
      <c r="C51" s="40">
        <f t="shared" si="0"/>
        <v>40697.616034099003</v>
      </c>
      <c r="D51" s="40"/>
      <c r="G51" s="5">
        <v>44377</v>
      </c>
      <c r="H51" s="41">
        <f t="shared" ref="H51:H57" si="4">SUM(C43:C46)</f>
        <v>166250.29592815635</v>
      </c>
    </row>
    <row r="52" spans="1:8" x14ac:dyDescent="0.35">
      <c r="A52" s="5">
        <v>44651</v>
      </c>
      <c r="B52" s="40">
        <v>32597</v>
      </c>
      <c r="C52" s="40">
        <f t="shared" si="0"/>
        <v>40553.474757394128</v>
      </c>
      <c r="D52" s="40"/>
      <c r="G52" s="5">
        <v>44408</v>
      </c>
      <c r="H52" s="41">
        <f t="shared" si="4"/>
        <v>165277.21397511661</v>
      </c>
    </row>
    <row r="53" spans="1:8" x14ac:dyDescent="0.35">
      <c r="A53" s="5">
        <v>44681</v>
      </c>
      <c r="B53" s="40">
        <v>25446</v>
      </c>
      <c r="C53" s="40">
        <f t="shared" si="0"/>
        <v>40493.010836807633</v>
      </c>
      <c r="D53" s="40"/>
      <c r="G53" s="5">
        <v>44439</v>
      </c>
      <c r="H53" s="41">
        <f t="shared" si="4"/>
        <v>164355.54974843998</v>
      </c>
    </row>
    <row r="54" spans="1:8" x14ac:dyDescent="0.35">
      <c r="A54" s="5">
        <v>44712</v>
      </c>
      <c r="B54" s="42">
        <v>49191</v>
      </c>
      <c r="C54" s="40">
        <f t="shared" si="0"/>
        <v>40378.663554117469</v>
      </c>
      <c r="D54" s="40"/>
      <c r="G54" s="5">
        <v>44469</v>
      </c>
      <c r="H54" s="41">
        <f t="shared" si="4"/>
        <v>163534.08780719651</v>
      </c>
    </row>
    <row r="55" spans="1:8" x14ac:dyDescent="0.35">
      <c r="A55" s="5">
        <v>44742</v>
      </c>
      <c r="B55" s="40">
        <v>32408</v>
      </c>
      <c r="C55" s="40">
        <f t="shared" si="0"/>
        <v>40445.631454763439</v>
      </c>
      <c r="D55" s="40"/>
      <c r="G55" s="5">
        <v>44500</v>
      </c>
      <c r="H55" s="41">
        <f t="shared" si="4"/>
        <v>162889.3519220133</v>
      </c>
    </row>
    <row r="56" spans="1:8" x14ac:dyDescent="0.35">
      <c r="A56" s="5">
        <v>44773</v>
      </c>
      <c r="B56" s="40">
        <v>28554</v>
      </c>
      <c r="C56" s="40">
        <f t="shared" si="0"/>
        <v>40384.550797210584</v>
      </c>
      <c r="D56" s="40"/>
      <c r="G56" s="5">
        <v>44530</v>
      </c>
      <c r="H56" s="41">
        <f t="shared" si="4"/>
        <v>162624.80878170294</v>
      </c>
    </row>
    <row r="57" spans="1:8" x14ac:dyDescent="0.35">
      <c r="A57" s="5">
        <v>44804</v>
      </c>
      <c r="B57" s="40">
        <v>44473</v>
      </c>
      <c r="C57" s="40">
        <f t="shared" si="0"/>
        <v>40294.64647328468</v>
      </c>
      <c r="D57" s="40"/>
      <c r="G57" s="5">
        <v>44561</v>
      </c>
      <c r="H57" s="41">
        <f t="shared" si="4"/>
        <v>162414.2326498442</v>
      </c>
    </row>
    <row r="58" spans="1:8" x14ac:dyDescent="0.35">
      <c r="A58" s="5">
        <v>44834</v>
      </c>
      <c r="B58" s="40">
        <v>42148</v>
      </c>
      <c r="C58" s="40">
        <f t="shared" si="0"/>
        <v>40326.399183313311</v>
      </c>
      <c r="D58" s="40"/>
      <c r="G58" s="5">
        <v>44592</v>
      </c>
      <c r="H58" s="41">
        <f t="shared" ref="H58:H82" si="5">SUM(C50:C53)</f>
        <v>162295.10369953181</v>
      </c>
    </row>
    <row r="59" spans="1:8" x14ac:dyDescent="0.35">
      <c r="A59" s="5">
        <v>44865</v>
      </c>
      <c r="B59" s="40">
        <v>40341</v>
      </c>
      <c r="C59" s="40">
        <f t="shared" si="0"/>
        <v>40340.242138953698</v>
      </c>
      <c r="D59" s="40"/>
      <c r="G59" s="5">
        <v>44620</v>
      </c>
      <c r="H59" s="41">
        <f t="shared" si="5"/>
        <v>162122.76518241822</v>
      </c>
    </row>
    <row r="60" spans="1:8" x14ac:dyDescent="0.35">
      <c r="A60" s="5">
        <v>44895</v>
      </c>
      <c r="B60" s="40">
        <v>41282</v>
      </c>
      <c r="C60" s="40">
        <f t="shared" si="0"/>
        <v>40340.247898194008</v>
      </c>
      <c r="D60" s="40"/>
      <c r="G60" s="5">
        <v>44651</v>
      </c>
      <c r="H60" s="41">
        <f t="shared" si="5"/>
        <v>161870.78060308268</v>
      </c>
    </row>
    <row r="61" spans="1:8" x14ac:dyDescent="0.35">
      <c r="A61" s="5">
        <v>44926</v>
      </c>
      <c r="B61" s="40">
        <v>40045</v>
      </c>
      <c r="C61" s="40">
        <f t="shared" si="0"/>
        <v>40347.404588315207</v>
      </c>
      <c r="D61" s="40"/>
      <c r="G61" s="5">
        <v>44681</v>
      </c>
      <c r="H61" s="41">
        <f t="shared" si="5"/>
        <v>161701.8566428991</v>
      </c>
    </row>
    <row r="62" spans="1:8" x14ac:dyDescent="0.35">
      <c r="A62" s="5">
        <v>44957</v>
      </c>
      <c r="B62" s="40">
        <v>30805</v>
      </c>
      <c r="C62" s="40">
        <f t="shared" si="0"/>
        <v>40345.106514410574</v>
      </c>
      <c r="D62" s="40"/>
      <c r="G62" s="5">
        <v>44712</v>
      </c>
      <c r="H62" s="41">
        <f t="shared" si="5"/>
        <v>161503.49227937617</v>
      </c>
    </row>
    <row r="63" spans="1:8" x14ac:dyDescent="0.35">
      <c r="A63" s="5">
        <v>44985</v>
      </c>
      <c r="B63" s="40">
        <v>36904</v>
      </c>
      <c r="C63" s="40">
        <f t="shared" si="0"/>
        <v>40272.608044892026</v>
      </c>
      <c r="D63" s="40"/>
      <c r="G63" s="5">
        <v>44742</v>
      </c>
      <c r="H63" s="41">
        <f t="shared" si="5"/>
        <v>161451.22790857201</v>
      </c>
    </row>
    <row r="64" spans="1:8" x14ac:dyDescent="0.35">
      <c r="A64" s="5">
        <v>45016</v>
      </c>
      <c r="B64" s="40">
        <v>47258</v>
      </c>
      <c r="C64" s="40">
        <f t="shared" si="0"/>
        <v>40247.008862399292</v>
      </c>
      <c r="D64" s="40"/>
      <c r="G64" s="5">
        <v>44773</v>
      </c>
      <c r="H64" s="41">
        <f t="shared" si="5"/>
        <v>161345.83859276227</v>
      </c>
    </row>
    <row r="65" spans="1:8" x14ac:dyDescent="0.35">
      <c r="A65" s="17">
        <v>45046</v>
      </c>
      <c r="B65" s="43">
        <v>33977</v>
      </c>
      <c r="C65" s="43">
        <f t="shared" si="0"/>
        <v>40300.287735807717</v>
      </c>
      <c r="D65" s="43"/>
      <c r="E65" s="18"/>
      <c r="G65" s="5">
        <v>44804</v>
      </c>
      <c r="H65" s="41">
        <f t="shared" si="5"/>
        <v>161301.53569374571</v>
      </c>
    </row>
    <row r="66" spans="1:8" x14ac:dyDescent="0.35">
      <c r="A66" s="5">
        <v>45077</v>
      </c>
      <c r="B66" s="40">
        <v>51732</v>
      </c>
      <c r="C66" s="40">
        <f t="shared" si="0"/>
        <v>40252.234951231469</v>
      </c>
      <c r="D66" s="40"/>
      <c r="E66" s="41">
        <f>C66-B66</f>
        <v>-11479.765048768531</v>
      </c>
      <c r="G66" s="5">
        <v>44834</v>
      </c>
      <c r="H66" s="41">
        <f t="shared" si="5"/>
        <v>161354.29380877622</v>
      </c>
    </row>
    <row r="67" spans="1:8" x14ac:dyDescent="0.35">
      <c r="A67" s="5">
        <v>45107</v>
      </c>
      <c r="B67" s="40">
        <v>42493</v>
      </c>
      <c r="C67" s="40">
        <f>($G$1*B65)+((1-$G$1)*C65)</f>
        <v>40252.234951231469</v>
      </c>
      <c r="D67" s="40"/>
      <c r="E67" s="41">
        <f t="shared" ref="E67:E77" si="6">C67-B67</f>
        <v>-2240.7650487685314</v>
      </c>
      <c r="G67" s="5">
        <v>44865</v>
      </c>
      <c r="H67" s="41">
        <f t="shared" si="5"/>
        <v>161373.00113987349</v>
      </c>
    </row>
    <row r="68" spans="1:8" x14ac:dyDescent="0.35">
      <c r="A68" s="5">
        <v>45138</v>
      </c>
      <c r="B68" s="40">
        <v>33368</v>
      </c>
      <c r="C68" s="40">
        <f>($G$1*B65)+((1-$G$1)*C65)</f>
        <v>40252.234951231469</v>
      </c>
      <c r="D68" s="40"/>
      <c r="E68" s="41">
        <f t="shared" si="6"/>
        <v>6884.2349512314686</v>
      </c>
      <c r="G68" s="5">
        <v>44895</v>
      </c>
      <c r="H68" s="41">
        <f t="shared" si="5"/>
        <v>161305.36704581181</v>
      </c>
    </row>
    <row r="69" spans="1:8" x14ac:dyDescent="0.35">
      <c r="A69" s="5">
        <v>45169</v>
      </c>
      <c r="B69" s="40">
        <v>52612</v>
      </c>
      <c r="C69" s="40">
        <f>($G$1*B65)+((1-$G$1)*C65)</f>
        <v>40252.234951231469</v>
      </c>
      <c r="D69" s="40"/>
      <c r="E69" s="41">
        <f t="shared" si="6"/>
        <v>-12359.765048768531</v>
      </c>
      <c r="G69" s="5">
        <v>44926</v>
      </c>
      <c r="H69" s="41">
        <f t="shared" si="5"/>
        <v>161212.1280100171</v>
      </c>
    </row>
    <row r="70" spans="1:8" x14ac:dyDescent="0.35">
      <c r="A70" s="5">
        <v>45199</v>
      </c>
      <c r="B70" s="40">
        <v>52467</v>
      </c>
      <c r="C70" s="40">
        <f>($G$1*B65)+((1-$G$1)*C65)</f>
        <v>40252.234951231469</v>
      </c>
      <c r="D70" s="40"/>
      <c r="E70" s="41">
        <f t="shared" si="6"/>
        <v>-12214.765048768531</v>
      </c>
      <c r="G70" s="5">
        <v>44957</v>
      </c>
      <c r="H70" s="41">
        <f t="shared" si="5"/>
        <v>161165.01115750961</v>
      </c>
    </row>
    <row r="71" spans="1:8" x14ac:dyDescent="0.35">
      <c r="A71" s="5">
        <v>45230</v>
      </c>
      <c r="B71" s="40">
        <v>42235</v>
      </c>
      <c r="C71" s="40">
        <f>($G$1*B65)+((1-$G$1)*C65)</f>
        <v>40252.234951231469</v>
      </c>
      <c r="D71" s="40"/>
      <c r="E71" s="41">
        <f t="shared" si="6"/>
        <v>-1982.7650487685314</v>
      </c>
      <c r="G71" s="5">
        <v>44985</v>
      </c>
      <c r="H71" s="41">
        <f t="shared" si="5"/>
        <v>161072.13959433051</v>
      </c>
    </row>
    <row r="72" spans="1:8" x14ac:dyDescent="0.35">
      <c r="A72" s="5">
        <v>45260</v>
      </c>
      <c r="B72" s="40">
        <v>59404</v>
      </c>
      <c r="C72" s="40">
        <f>($G$1*B65)+((1-$G$1)*C65)</f>
        <v>40252.234951231469</v>
      </c>
      <c r="D72" s="40"/>
      <c r="E72" s="41">
        <f t="shared" si="6"/>
        <v>-19151.765048768531</v>
      </c>
      <c r="G72" s="5">
        <v>45016</v>
      </c>
      <c r="H72" s="41">
        <f t="shared" si="5"/>
        <v>161051.76650066994</v>
      </c>
    </row>
    <row r="73" spans="1:8" x14ac:dyDescent="0.35">
      <c r="A73" s="5">
        <v>45291</v>
      </c>
      <c r="B73" s="40">
        <v>52434</v>
      </c>
      <c r="C73" s="40">
        <f>($G$1*B65)+((1-$G$1)*C65)</f>
        <v>40252.234951231469</v>
      </c>
      <c r="D73" s="40"/>
      <c r="E73" s="41">
        <f t="shared" si="6"/>
        <v>-12181.765048768531</v>
      </c>
      <c r="G73" s="5">
        <v>45046</v>
      </c>
      <c r="H73" s="41">
        <f t="shared" si="5"/>
        <v>161056.99258950213</v>
      </c>
    </row>
    <row r="74" spans="1:8" x14ac:dyDescent="0.35">
      <c r="A74" s="5">
        <v>45322</v>
      </c>
      <c r="B74" s="40">
        <v>52855</v>
      </c>
      <c r="C74" s="40">
        <f>($G$1*B65)+((1-$G$1)*C65)</f>
        <v>40252.234951231469</v>
      </c>
      <c r="D74" s="40"/>
      <c r="E74" s="41">
        <f t="shared" si="6"/>
        <v>-12602.765048768531</v>
      </c>
      <c r="G74" s="5">
        <v>45077</v>
      </c>
      <c r="H74" s="41">
        <f t="shared" si="5"/>
        <v>161008.93980492587</v>
      </c>
    </row>
    <row r="75" spans="1:8" x14ac:dyDescent="0.35">
      <c r="A75" s="5">
        <v>45351</v>
      </c>
      <c r="B75" s="40">
        <v>45697</v>
      </c>
      <c r="C75" s="40">
        <f>($G$1*B65)+((1-$G$1)*C65)</f>
        <v>40252.234951231469</v>
      </c>
      <c r="D75" s="40"/>
      <c r="E75" s="41">
        <f t="shared" si="6"/>
        <v>-5444.7650487685314</v>
      </c>
      <c r="G75" s="5">
        <v>45107</v>
      </c>
      <c r="H75" s="41">
        <f t="shared" si="5"/>
        <v>161008.93980492587</v>
      </c>
    </row>
    <row r="76" spans="1:8" x14ac:dyDescent="0.35">
      <c r="A76" s="5">
        <v>45382</v>
      </c>
      <c r="B76" s="24">
        <v>42815</v>
      </c>
      <c r="C76" s="40">
        <f>($G$1*B65)+((1-$G$1)*C65)</f>
        <v>40252.234951231469</v>
      </c>
      <c r="D76" s="40"/>
      <c r="E76" s="41">
        <f t="shared" si="6"/>
        <v>-2562.7650487685314</v>
      </c>
      <c r="G76" s="5">
        <v>45138</v>
      </c>
      <c r="H76" s="41">
        <f t="shared" si="5"/>
        <v>161008.93980492587</v>
      </c>
    </row>
    <row r="77" spans="1:8" x14ac:dyDescent="0.35">
      <c r="A77" s="5">
        <v>45412</v>
      </c>
      <c r="B77" s="24">
        <v>35800</v>
      </c>
      <c r="C77" s="40">
        <f>($G$1*B65)+((1-$G$1)*C65)</f>
        <v>40252.234951231469</v>
      </c>
      <c r="D77" s="40"/>
      <c r="E77" s="41">
        <f t="shared" si="6"/>
        <v>4452.2349512314686</v>
      </c>
      <c r="G77" s="5">
        <v>45169</v>
      </c>
      <c r="H77" s="41">
        <f t="shared" si="5"/>
        <v>161008.93980492587</v>
      </c>
    </row>
    <row r="78" spans="1:8" x14ac:dyDescent="0.35">
      <c r="A78" s="5">
        <v>45443</v>
      </c>
      <c r="C78" s="40">
        <f>($G$1*B65)+((1-$G$1)*C65)</f>
        <v>40252.234951231469</v>
      </c>
      <c r="D78" s="40"/>
      <c r="G78" s="5">
        <v>45199</v>
      </c>
      <c r="H78" s="41">
        <f t="shared" si="5"/>
        <v>161008.93980492587</v>
      </c>
    </row>
    <row r="79" spans="1:8" x14ac:dyDescent="0.35">
      <c r="A79" s="5">
        <v>45473</v>
      </c>
      <c r="C79" s="40">
        <f>($G$1*B65)+((1-$G$1)*C65)</f>
        <v>40252.234951231469</v>
      </c>
      <c r="D79" s="40"/>
      <c r="G79" s="5">
        <v>45230</v>
      </c>
      <c r="H79" s="41">
        <f t="shared" si="5"/>
        <v>161008.93980492587</v>
      </c>
    </row>
    <row r="80" spans="1:8" x14ac:dyDescent="0.35">
      <c r="A80" s="5">
        <v>45504</v>
      </c>
      <c r="C80">
        <f>($G$1*B65)+((1-$G$1)*C65)</f>
        <v>40252.234951231469</v>
      </c>
      <c r="G80" s="5">
        <v>45260</v>
      </c>
      <c r="H80" s="41">
        <f t="shared" si="5"/>
        <v>161008.93980492587</v>
      </c>
    </row>
    <row r="81" spans="1:11" x14ac:dyDescent="0.35">
      <c r="A81" s="5">
        <v>45535</v>
      </c>
      <c r="C81">
        <f>($G$1*B65)+((1-$G$1)*C65)</f>
        <v>40252.234951231469</v>
      </c>
      <c r="D81">
        <f>C81*one_third!K14</f>
        <v>11343.700280187284</v>
      </c>
      <c r="G81" s="5">
        <v>45291</v>
      </c>
      <c r="H81" s="41">
        <f t="shared" si="5"/>
        <v>161008.93980492587</v>
      </c>
    </row>
    <row r="82" spans="1:11" x14ac:dyDescent="0.35">
      <c r="A82" s="5">
        <v>45565</v>
      </c>
      <c r="C82">
        <f>($G$1*B65)+((1-$G$1)*C65)</f>
        <v>40252.234951231469</v>
      </c>
      <c r="D82">
        <f>C82</f>
        <v>40252.234951231469</v>
      </c>
      <c r="G82" s="5">
        <v>45322</v>
      </c>
      <c r="H82" s="41">
        <f t="shared" si="5"/>
        <v>161008.93980492587</v>
      </c>
    </row>
    <row r="83" spans="1:11" x14ac:dyDescent="0.35">
      <c r="A83" s="5">
        <v>45596</v>
      </c>
      <c r="C83">
        <f>($G$1*B65)+((1-$G$1)*C65)</f>
        <v>40252.234951231469</v>
      </c>
      <c r="D83">
        <f>C83</f>
        <v>40252.234951231469</v>
      </c>
      <c r="G83" s="5">
        <v>45351</v>
      </c>
      <c r="H83" s="41">
        <f>SUM(C75:C78)</f>
        <v>161008.93980492587</v>
      </c>
    </row>
    <row r="84" spans="1:11" x14ac:dyDescent="0.35">
      <c r="A84" s="5">
        <v>45626</v>
      </c>
      <c r="C84">
        <f>($G$1*B65)+((1-$G$1)*C65)</f>
        <v>40252.234951231469</v>
      </c>
      <c r="D84">
        <f>C84</f>
        <v>40252.234951231469</v>
      </c>
      <c r="G84" s="5">
        <v>45382</v>
      </c>
      <c r="H84" s="41">
        <f>SUM(C76:C79)</f>
        <v>161008.93980492587</v>
      </c>
    </row>
    <row r="85" spans="1:11" x14ac:dyDescent="0.35">
      <c r="A85" s="5">
        <v>45657</v>
      </c>
      <c r="C85">
        <f>($G$1*B65)+((1-$G$1)*C65)</f>
        <v>40252.234951231469</v>
      </c>
      <c r="D85">
        <f>C85*one_third!K12</f>
        <v>15299.519130507642</v>
      </c>
      <c r="G85" s="5">
        <v>45412</v>
      </c>
      <c r="H85" s="41">
        <f>SUM(C77:C80)</f>
        <v>161008.93980492587</v>
      </c>
    </row>
    <row r="86" spans="1:11" x14ac:dyDescent="0.35">
      <c r="G86" s="5" t="s">
        <v>24</v>
      </c>
      <c r="H86" s="41">
        <f>SUM(C78:C81)</f>
        <v>161008.93980492587</v>
      </c>
    </row>
    <row r="95" spans="1:11" x14ac:dyDescent="0.35">
      <c r="G95" s="13" t="s">
        <v>13</v>
      </c>
      <c r="H95" s="13" t="s">
        <v>18</v>
      </c>
      <c r="I95" s="13" t="s">
        <v>14</v>
      </c>
      <c r="J95" s="13" t="s">
        <v>15</v>
      </c>
      <c r="K95" s="13" t="s">
        <v>16</v>
      </c>
    </row>
    <row r="96" spans="1:11" x14ac:dyDescent="0.35">
      <c r="G96" s="34" cm="1">
        <f t="array" ref="G96">SUMPRODUCT(ABS($B$54:$B$65-$C$54:$C$65))/COUNT($C$54:$C$65)</f>
        <v>5180.6984187614244</v>
      </c>
      <c r="H96" s="36">
        <f>(SUMXMY2($B$54:$B$65,$C$54:$C$65)/COUNT($C$54:$C$65))^0.5</f>
        <v>6425.7104409510357</v>
      </c>
      <c r="I96" s="33" cm="1">
        <f t="array" ref="I96">SUMPRODUCT(ABS(1-$C$54:$C$65/$B$54:$B$65))/COUNT($C$54:$C$65)</f>
        <v>0.1453725213662834</v>
      </c>
      <c r="J96" s="34" cm="1">
        <f t="array" ref="J96">SUM($C$54:$C$65-$B$54:$B$65)</f>
        <v>16636.797245662005</v>
      </c>
      <c r="K96" s="34" cm="1">
        <f t="array" ref="K96">MIN($C$54:$C$65-$B$54:$B$65)</f>
        <v>-8812.3364458825308</v>
      </c>
    </row>
    <row r="97" spans="7:11" x14ac:dyDescent="0.35">
      <c r="G97" s="34" cm="1">
        <f t="array" ref="G97">SUMPRODUCT(ABS($B$66:$B$77-$C$66:$C$77))/COUNT($C$66:$C$77)</f>
        <v>8629.843365845687</v>
      </c>
      <c r="H97" s="36">
        <f>(SUMXMY2($B$66:$B$77,$C$66:$C$77)/COUNT($C$66:$C$77))^0.5</f>
        <v>10083.58888323003</v>
      </c>
      <c r="I97" s="33" cm="1">
        <f t="array" ref="I97">SUMPRODUCT(ABS(1-$C$66:$C$77/$B$66:$B$77))/COUNT($C$66:$C$77)</f>
        <v>0.1743471369323176</v>
      </c>
      <c r="J97" s="34" cm="1">
        <f t="array" ref="J97">SUM($C$66:$C$77-$B$66:$B$77)</f>
        <v>-80885.180585222377</v>
      </c>
      <c r="K97" s="34" cm="1">
        <f t="array" ref="K97">MIN($C$66:$C$77-$B$66:$B$77)</f>
        <v>-19151.765048768531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E7919-CCE5-4AB7-A732-36A671FB4CF5}">
  <sheetPr>
    <tabColor rgb="FF92D050"/>
  </sheetPr>
  <dimension ref="A1:O97"/>
  <sheetViews>
    <sheetView topLeftCell="A66" workbookViewId="0">
      <selection activeCell="F76" sqref="F76:F79"/>
    </sheetView>
  </sheetViews>
  <sheetFormatPr defaultRowHeight="14.5" x14ac:dyDescent="0.35"/>
  <cols>
    <col min="2" max="2" width="10.453125" bestFit="1" customWidth="1"/>
    <col min="5" max="5" width="11" customWidth="1"/>
    <col min="7" max="7" width="11.81640625" customWidth="1"/>
    <col min="8" max="8" width="12.453125" customWidth="1"/>
    <col min="9" max="9" width="10.08984375" customWidth="1"/>
    <col min="10" max="10" width="13.6328125" bestFit="1" customWidth="1"/>
    <col min="11" max="11" width="13.6328125" customWidth="1"/>
    <col min="13" max="13" width="11.1796875" bestFit="1" customWidth="1"/>
    <col min="14" max="14" width="9.1796875" bestFit="1" customWidth="1"/>
  </cols>
  <sheetData>
    <row r="1" spans="1:12" x14ac:dyDescent="0.35">
      <c r="A1" s="1" t="s">
        <v>0</v>
      </c>
      <c r="E1" t="s">
        <v>17</v>
      </c>
    </row>
    <row r="2" spans="1:12" ht="15" thickBot="1" x14ac:dyDescent="0.4"/>
    <row r="3" spans="1:12" ht="15" thickTop="1" x14ac:dyDescent="0.35">
      <c r="A3" s="2" t="s">
        <v>2</v>
      </c>
      <c r="B3" s="2" t="s">
        <v>3</v>
      </c>
      <c r="C3" s="2" t="s">
        <v>4</v>
      </c>
      <c r="E3" s="3" t="str">
        <f>B3</f>
        <v>qtr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13"/>
    </row>
    <row r="4" spans="1:12" x14ac:dyDescent="0.35">
      <c r="A4" s="4">
        <v>1</v>
      </c>
      <c r="B4" s="5">
        <v>43131</v>
      </c>
      <c r="C4" s="6">
        <v>34890</v>
      </c>
      <c r="E4" s="5">
        <f>B4</f>
        <v>43131</v>
      </c>
      <c r="F4" s="4">
        <f>C4</f>
        <v>34890</v>
      </c>
      <c r="I4" s="20">
        <f>F4-AVERAGE($F$4:$F$15)</f>
        <v>-7116.0833333333358</v>
      </c>
    </row>
    <row r="5" spans="1:12" x14ac:dyDescent="0.35">
      <c r="A5" s="4">
        <f>A4+1</f>
        <v>2</v>
      </c>
      <c r="B5" s="5">
        <v>43159</v>
      </c>
      <c r="C5" s="6">
        <v>25830</v>
      </c>
      <c r="E5" s="5">
        <f t="shared" ref="E5:F20" si="0">B5</f>
        <v>43159</v>
      </c>
      <c r="F5" s="4">
        <f t="shared" si="0"/>
        <v>25830</v>
      </c>
      <c r="I5" s="20">
        <f t="shared" ref="I5:I15" si="1">F5-AVERAGE($F$4:$F$15)</f>
        <v>-16176.083333333336</v>
      </c>
    </row>
    <row r="6" spans="1:12" x14ac:dyDescent="0.35">
      <c r="A6" s="4">
        <f t="shared" ref="A6:A69" si="2">A5+1</f>
        <v>3</v>
      </c>
      <c r="B6" s="5">
        <v>43190</v>
      </c>
      <c r="C6" s="6">
        <v>41054</v>
      </c>
      <c r="E6" s="5">
        <f t="shared" si="0"/>
        <v>43190</v>
      </c>
      <c r="F6" s="4">
        <f t="shared" si="0"/>
        <v>41054</v>
      </c>
      <c r="I6" s="20">
        <f t="shared" si="1"/>
        <v>-952.08333333333576</v>
      </c>
    </row>
    <row r="7" spans="1:12" x14ac:dyDescent="0.35">
      <c r="A7" s="4">
        <f t="shared" si="2"/>
        <v>4</v>
      </c>
      <c r="B7" s="5">
        <v>43220</v>
      </c>
      <c r="C7" s="6">
        <v>36838</v>
      </c>
      <c r="E7" s="5">
        <f t="shared" si="0"/>
        <v>43220</v>
      </c>
      <c r="F7" s="4">
        <f t="shared" si="0"/>
        <v>36838</v>
      </c>
      <c r="I7" s="20">
        <f t="shared" si="1"/>
        <v>-5168.0833333333358</v>
      </c>
    </row>
    <row r="8" spans="1:12" x14ac:dyDescent="0.35">
      <c r="A8" s="4">
        <f t="shared" si="2"/>
        <v>5</v>
      </c>
      <c r="B8" s="5">
        <v>43251</v>
      </c>
      <c r="C8" s="6">
        <v>56808</v>
      </c>
      <c r="E8" s="5">
        <f t="shared" si="0"/>
        <v>43251</v>
      </c>
      <c r="F8" s="4">
        <f t="shared" si="0"/>
        <v>56808</v>
      </c>
      <c r="I8" s="20">
        <f t="shared" si="1"/>
        <v>14801.916666666664</v>
      </c>
    </row>
    <row r="9" spans="1:12" x14ac:dyDescent="0.35">
      <c r="A9" s="4">
        <f t="shared" si="2"/>
        <v>6</v>
      </c>
      <c r="B9" s="5">
        <v>43281</v>
      </c>
      <c r="C9" s="6">
        <v>34939</v>
      </c>
      <c r="E9" s="5">
        <f t="shared" si="0"/>
        <v>43281</v>
      </c>
      <c r="F9" s="4">
        <f t="shared" si="0"/>
        <v>34939</v>
      </c>
      <c r="I9" s="20">
        <f t="shared" si="1"/>
        <v>-7067.0833333333358</v>
      </c>
    </row>
    <row r="10" spans="1:12" x14ac:dyDescent="0.35">
      <c r="A10" s="4">
        <f t="shared" si="2"/>
        <v>7</v>
      </c>
      <c r="B10" s="5">
        <v>43312</v>
      </c>
      <c r="C10" s="6">
        <v>41853</v>
      </c>
      <c r="E10" s="5">
        <f t="shared" si="0"/>
        <v>43312</v>
      </c>
      <c r="F10" s="4">
        <f t="shared" si="0"/>
        <v>41853</v>
      </c>
      <c r="I10" s="20">
        <f t="shared" si="1"/>
        <v>-153.08333333333576</v>
      </c>
    </row>
    <row r="11" spans="1:12" x14ac:dyDescent="0.35">
      <c r="A11" s="4">
        <f t="shared" si="2"/>
        <v>8</v>
      </c>
      <c r="B11" s="5">
        <v>43343</v>
      </c>
      <c r="C11" s="6">
        <v>58036</v>
      </c>
      <c r="E11" s="5">
        <f t="shared" si="0"/>
        <v>43343</v>
      </c>
      <c r="F11" s="4">
        <f t="shared" si="0"/>
        <v>58036</v>
      </c>
      <c r="I11" s="20">
        <f t="shared" si="1"/>
        <v>16029.916666666664</v>
      </c>
    </row>
    <row r="12" spans="1:12" x14ac:dyDescent="0.35">
      <c r="A12" s="4">
        <f t="shared" si="2"/>
        <v>9</v>
      </c>
      <c r="B12" s="5">
        <v>43373</v>
      </c>
      <c r="C12" s="6">
        <v>42879</v>
      </c>
      <c r="E12" s="5">
        <f t="shared" si="0"/>
        <v>43373</v>
      </c>
      <c r="F12" s="4">
        <f t="shared" si="0"/>
        <v>42879</v>
      </c>
      <c r="I12" s="20">
        <f t="shared" si="1"/>
        <v>872.91666666666424</v>
      </c>
    </row>
    <row r="13" spans="1:12" x14ac:dyDescent="0.35">
      <c r="A13" s="4">
        <f t="shared" si="2"/>
        <v>10</v>
      </c>
      <c r="B13" s="5">
        <v>43404</v>
      </c>
      <c r="C13" s="6">
        <v>54081</v>
      </c>
      <c r="E13" s="5">
        <f t="shared" si="0"/>
        <v>43404</v>
      </c>
      <c r="F13" s="4">
        <f t="shared" si="0"/>
        <v>54081</v>
      </c>
      <c r="I13" s="20">
        <f t="shared" si="1"/>
        <v>12074.916666666664</v>
      </c>
    </row>
    <row r="14" spans="1:12" x14ac:dyDescent="0.35">
      <c r="A14" s="4">
        <f t="shared" si="2"/>
        <v>11</v>
      </c>
      <c r="B14" s="5">
        <v>43434</v>
      </c>
      <c r="C14" s="6">
        <v>31764</v>
      </c>
      <c r="E14" s="5">
        <f t="shared" si="0"/>
        <v>43434</v>
      </c>
      <c r="F14" s="4">
        <f t="shared" si="0"/>
        <v>31764</v>
      </c>
      <c r="I14" s="20">
        <f t="shared" si="1"/>
        <v>-10242.083333333336</v>
      </c>
    </row>
    <row r="15" spans="1:12" x14ac:dyDescent="0.35">
      <c r="A15" s="4">
        <f t="shared" si="2"/>
        <v>12</v>
      </c>
      <c r="B15" s="5">
        <v>43465</v>
      </c>
      <c r="C15" s="6">
        <v>45101</v>
      </c>
      <c r="E15" s="5">
        <f t="shared" si="0"/>
        <v>43465</v>
      </c>
      <c r="F15" s="4">
        <f t="shared" si="0"/>
        <v>45101</v>
      </c>
      <c r="G15" s="20">
        <f>F15-I15</f>
        <v>42006.083333333336</v>
      </c>
      <c r="H15" s="21">
        <f>(AVERAGE(F16:F27)-AVERAGE(F4:F15))/12</f>
        <v>3906.0208333333326</v>
      </c>
      <c r="I15" s="20">
        <f t="shared" si="1"/>
        <v>3094.9166666666642</v>
      </c>
    </row>
    <row r="16" spans="1:12" x14ac:dyDescent="0.35">
      <c r="A16" s="4">
        <f t="shared" si="2"/>
        <v>13</v>
      </c>
      <c r="B16" s="5">
        <v>43496</v>
      </c>
      <c r="C16" s="6">
        <v>61974</v>
      </c>
      <c r="E16" s="5">
        <f t="shared" si="0"/>
        <v>43496</v>
      </c>
      <c r="F16" s="4">
        <f t="shared" si="0"/>
        <v>61974</v>
      </c>
      <c r="G16" s="22">
        <f t="shared" ref="G16:G32" si="3">$F$96*(F16-I4)+(1-$F$96)*(G15+H15)</f>
        <v>47300.579683449098</v>
      </c>
      <c r="H16" s="23">
        <f t="shared" ref="H16:H32" si="4">$G$96*(G16-G15)+(1-$G$96)*H15</f>
        <v>5294.4963501157617</v>
      </c>
      <c r="I16" s="22">
        <f t="shared" ref="I16:I32" si="5">$H$96*(F16-G16)+(1-$H$96)*I4</f>
        <v>-5718.645303818259</v>
      </c>
      <c r="J16" s="22">
        <f>G15+H15+I4</f>
        <v>38796.020833333336</v>
      </c>
      <c r="K16" s="22"/>
      <c r="L16" s="24">
        <f>J20-F20</f>
        <v>-34690.184640873427</v>
      </c>
    </row>
    <row r="17" spans="1:12" x14ac:dyDescent="0.35">
      <c r="A17" s="4">
        <f t="shared" si="2"/>
        <v>14</v>
      </c>
      <c r="B17" s="5">
        <v>43524</v>
      </c>
      <c r="C17" s="6">
        <v>37927</v>
      </c>
      <c r="E17" s="5">
        <f t="shared" si="0"/>
        <v>43524</v>
      </c>
      <c r="F17" s="4">
        <f t="shared" si="0"/>
        <v>37927</v>
      </c>
      <c r="G17" s="22">
        <f t="shared" si="3"/>
        <v>52685.413124637453</v>
      </c>
      <c r="H17" s="23">
        <f t="shared" si="4"/>
        <v>5384.8334411883552</v>
      </c>
      <c r="I17" s="22">
        <f t="shared" si="5"/>
        <v>-16085.163122631211</v>
      </c>
      <c r="J17" s="22">
        <f t="shared" ref="J17:J67" si="6">G16+H16+I5</f>
        <v>36418.992700231523</v>
      </c>
      <c r="K17" s="22"/>
      <c r="L17" s="24">
        <f>J21-F21</f>
        <v>-7207.334912614373</v>
      </c>
    </row>
    <row r="18" spans="1:12" x14ac:dyDescent="0.35">
      <c r="A18" s="4">
        <f t="shared" si="2"/>
        <v>15</v>
      </c>
      <c r="B18" s="5">
        <v>43555</v>
      </c>
      <c r="C18" s="6">
        <v>59679</v>
      </c>
      <c r="E18" s="5">
        <f t="shared" si="0"/>
        <v>43555</v>
      </c>
      <c r="F18" s="4">
        <f t="shared" si="0"/>
        <v>59679</v>
      </c>
      <c r="G18" s="22">
        <f t="shared" si="3"/>
        <v>58223.65334596797</v>
      </c>
      <c r="H18" s="23">
        <f t="shared" si="4"/>
        <v>5538.2402213305177</v>
      </c>
      <c r="I18" s="22">
        <f t="shared" si="5"/>
        <v>-797.68632311244278</v>
      </c>
      <c r="J18" s="22">
        <f t="shared" si="6"/>
        <v>57118.163232492472</v>
      </c>
      <c r="K18" s="22"/>
      <c r="L18" s="24">
        <f>J22-F22</f>
        <v>-22791.088740137668</v>
      </c>
    </row>
    <row r="19" spans="1:12" x14ac:dyDescent="0.35">
      <c r="A19" s="4">
        <f t="shared" si="2"/>
        <v>16</v>
      </c>
      <c r="B19" s="5">
        <v>43585</v>
      </c>
      <c r="C19" s="6">
        <v>56163</v>
      </c>
      <c r="E19" s="5">
        <f t="shared" si="0"/>
        <v>43585</v>
      </c>
      <c r="F19" s="4">
        <f t="shared" si="0"/>
        <v>56163</v>
      </c>
      <c r="G19" s="22">
        <f t="shared" si="3"/>
        <v>63616.276019213939</v>
      </c>
      <c r="H19" s="23">
        <f t="shared" si="4"/>
        <v>5392.6226732459691</v>
      </c>
      <c r="I19" s="22">
        <f t="shared" si="5"/>
        <v>-5314.6408325463208</v>
      </c>
      <c r="J19" s="22">
        <f t="shared" si="6"/>
        <v>58593.810233965152</v>
      </c>
      <c r="K19" s="22"/>
      <c r="L19" s="24">
        <f>J23-F23</f>
        <v>-3219.9998177198577</v>
      </c>
    </row>
    <row r="20" spans="1:12" x14ac:dyDescent="0.35">
      <c r="A20" s="4">
        <f t="shared" si="2"/>
        <v>17</v>
      </c>
      <c r="B20" s="5">
        <v>43616</v>
      </c>
      <c r="C20" s="6">
        <v>118501</v>
      </c>
      <c r="E20" s="5">
        <f t="shared" si="0"/>
        <v>43616</v>
      </c>
      <c r="F20" s="10">
        <f t="shared" si="0"/>
        <v>118501</v>
      </c>
      <c r="G20" s="22">
        <f t="shared" si="3"/>
        <v>71087.012219966447</v>
      </c>
      <c r="H20" s="23">
        <f t="shared" si="4"/>
        <v>7470.736200752508</v>
      </c>
      <c r="I20" s="22">
        <f t="shared" si="5"/>
        <v>16893.444272221419</v>
      </c>
      <c r="J20" s="22">
        <f t="shared" si="6"/>
        <v>83810.815359126573</v>
      </c>
      <c r="K20" s="22"/>
      <c r="L20" s="24">
        <f>J24-F24</f>
        <v>-7383.421953248413</v>
      </c>
    </row>
    <row r="21" spans="1:12" x14ac:dyDescent="0.35">
      <c r="A21" s="4">
        <f t="shared" si="2"/>
        <v>18</v>
      </c>
      <c r="B21" s="5">
        <v>43646</v>
      </c>
      <c r="C21" s="6">
        <v>78698</v>
      </c>
      <c r="E21" s="5">
        <f t="shared" ref="E21:F36" si="7">B21</f>
        <v>43646</v>
      </c>
      <c r="F21" s="10">
        <f t="shared" si="7"/>
        <v>78698</v>
      </c>
      <c r="G21" s="22">
        <f t="shared" si="3"/>
        <v>78989.503406581061</v>
      </c>
      <c r="H21" s="23">
        <f t="shared" si="4"/>
        <v>7902.491186614614</v>
      </c>
      <c r="I21" s="22">
        <f t="shared" si="5"/>
        <v>-6632.5413991157147</v>
      </c>
      <c r="J21" s="22">
        <f t="shared" si="6"/>
        <v>71490.665087385627</v>
      </c>
      <c r="K21" s="22"/>
      <c r="L21" s="24">
        <f t="shared" ref="L21:L79" si="8">J21-F21</f>
        <v>-7207.334912614373</v>
      </c>
    </row>
    <row r="22" spans="1:12" x14ac:dyDescent="0.35">
      <c r="A22" s="4">
        <f t="shared" si="2"/>
        <v>19</v>
      </c>
      <c r="B22" s="5">
        <v>43677</v>
      </c>
      <c r="C22" s="6">
        <v>109530</v>
      </c>
      <c r="E22" s="5">
        <f t="shared" si="7"/>
        <v>43677</v>
      </c>
      <c r="F22" s="10">
        <f t="shared" si="7"/>
        <v>109530</v>
      </c>
      <c r="G22" s="22">
        <f t="shared" si="3"/>
        <v>88257.293461097273</v>
      </c>
      <c r="H22" s="23">
        <f t="shared" si="4"/>
        <v>9267.790054516212</v>
      </c>
      <c r="I22" s="22">
        <f t="shared" si="5"/>
        <v>1221.0284436469863</v>
      </c>
      <c r="J22" s="22">
        <f t="shared" si="6"/>
        <v>86738.911259862332</v>
      </c>
      <c r="K22" s="22"/>
      <c r="L22" s="24">
        <f t="shared" si="8"/>
        <v>-22791.088740137668</v>
      </c>
    </row>
    <row r="23" spans="1:12" x14ac:dyDescent="0.35">
      <c r="A23" s="4">
        <f t="shared" si="2"/>
        <v>20</v>
      </c>
      <c r="B23" s="5">
        <v>43708</v>
      </c>
      <c r="C23" s="6">
        <v>116775</v>
      </c>
      <c r="E23" s="5">
        <f t="shared" si="7"/>
        <v>43708</v>
      </c>
      <c r="F23" s="10">
        <f t="shared" si="7"/>
        <v>116775</v>
      </c>
      <c r="G23" s="22">
        <f t="shared" si="3"/>
        <v>97717.977420591094</v>
      </c>
      <c r="H23" s="23">
        <f t="shared" si="4"/>
        <v>9460.683959493821</v>
      </c>
      <c r="I23" s="22">
        <f t="shared" si="5"/>
        <v>16224.05568836294</v>
      </c>
      <c r="J23" s="22">
        <f t="shared" si="6"/>
        <v>113555.00018228014</v>
      </c>
      <c r="K23" s="22"/>
      <c r="L23" s="24">
        <f t="shared" si="8"/>
        <v>-3219.9998177198577</v>
      </c>
    </row>
    <row r="24" spans="1:12" x14ac:dyDescent="0.35">
      <c r="A24" s="4">
        <f t="shared" si="2"/>
        <v>21</v>
      </c>
      <c r="B24" s="5">
        <v>43738</v>
      </c>
      <c r="C24" s="6">
        <v>115435</v>
      </c>
      <c r="E24" s="5">
        <f t="shared" si="7"/>
        <v>43738</v>
      </c>
      <c r="F24" s="10">
        <f t="shared" si="7"/>
        <v>115435</v>
      </c>
      <c r="G24" s="22">
        <f t="shared" si="3"/>
        <v>107620.96485004846</v>
      </c>
      <c r="H24" s="23">
        <f t="shared" si="4"/>
        <v>9902.9874294573674</v>
      </c>
      <c r="I24" s="22">
        <f t="shared" si="5"/>
        <v>1318.0751747157369</v>
      </c>
      <c r="J24" s="22">
        <f t="shared" si="6"/>
        <v>108051.57804675159</v>
      </c>
      <c r="K24" s="22"/>
      <c r="L24" s="24">
        <f t="shared" si="8"/>
        <v>-7383.421953248413</v>
      </c>
    </row>
    <row r="25" spans="1:12" x14ac:dyDescent="0.35">
      <c r="A25" s="4">
        <f t="shared" si="2"/>
        <v>22</v>
      </c>
      <c r="B25" s="5">
        <v>43769</v>
      </c>
      <c r="C25" s="6">
        <v>100006</v>
      </c>
      <c r="E25" s="5">
        <f t="shared" si="7"/>
        <v>43769</v>
      </c>
      <c r="F25" s="10">
        <f t="shared" si="7"/>
        <v>100006</v>
      </c>
      <c r="G25" s="22">
        <f t="shared" si="3"/>
        <v>115751.19315725224</v>
      </c>
      <c r="H25" s="23">
        <f t="shared" si="4"/>
        <v>8130.2283072037826</v>
      </c>
      <c r="I25" s="22">
        <f t="shared" si="5"/>
        <v>10290.714507778257</v>
      </c>
      <c r="J25" s="22">
        <f t="shared" si="6"/>
        <v>129598.8689461725</v>
      </c>
      <c r="K25" s="22"/>
      <c r="L25" s="24">
        <f t="shared" si="8"/>
        <v>29592.868946172501</v>
      </c>
    </row>
    <row r="26" spans="1:12" x14ac:dyDescent="0.35">
      <c r="A26" s="4">
        <f t="shared" si="2"/>
        <v>23</v>
      </c>
      <c r="B26" s="5">
        <v>43799</v>
      </c>
      <c r="C26" s="6">
        <v>105375</v>
      </c>
      <c r="E26" s="5">
        <f t="shared" si="7"/>
        <v>43799</v>
      </c>
      <c r="F26" s="10">
        <f t="shared" si="7"/>
        <v>105375</v>
      </c>
      <c r="G26" s="22">
        <f t="shared" si="3"/>
        <v>123386.34676122315</v>
      </c>
      <c r="H26" s="23">
        <f t="shared" si="4"/>
        <v>7635.1536039709026</v>
      </c>
      <c r="I26" s="22">
        <f t="shared" si="5"/>
        <v>-10740.353709286188</v>
      </c>
      <c r="J26" s="22">
        <f t="shared" si="6"/>
        <v>113639.3381311227</v>
      </c>
      <c r="K26" s="22"/>
      <c r="L26" s="24">
        <f t="shared" si="8"/>
        <v>8264.3381311226985</v>
      </c>
    </row>
    <row r="27" spans="1:12" x14ac:dyDescent="0.35">
      <c r="A27" s="4">
        <f t="shared" si="2"/>
        <v>24</v>
      </c>
      <c r="B27" s="5">
        <v>43830</v>
      </c>
      <c r="C27" s="6">
        <v>106477</v>
      </c>
      <c r="E27" s="5">
        <f t="shared" si="7"/>
        <v>43830</v>
      </c>
      <c r="F27" s="10">
        <f t="shared" si="7"/>
        <v>106477</v>
      </c>
      <c r="G27" s="22">
        <f t="shared" si="3"/>
        <v>129365.76266817907</v>
      </c>
      <c r="H27" s="23">
        <f t="shared" si="4"/>
        <v>5979.4159069559246</v>
      </c>
      <c r="I27" s="22">
        <f t="shared" si="5"/>
        <v>1428.4912981644613</v>
      </c>
      <c r="J27" s="22">
        <f t="shared" si="6"/>
        <v>134116.41703186071</v>
      </c>
      <c r="K27" s="22"/>
      <c r="L27" s="24">
        <f t="shared" si="8"/>
        <v>27639.417031860707</v>
      </c>
    </row>
    <row r="28" spans="1:12" x14ac:dyDescent="0.35">
      <c r="A28" s="4">
        <f t="shared" si="2"/>
        <v>25</v>
      </c>
      <c r="B28" s="5">
        <v>43861</v>
      </c>
      <c r="C28" s="6">
        <v>82087</v>
      </c>
      <c r="E28" s="5">
        <f t="shared" si="7"/>
        <v>43861</v>
      </c>
      <c r="F28" s="10">
        <f t="shared" si="7"/>
        <v>82087</v>
      </c>
      <c r="G28" s="25">
        <f t="shared" si="3"/>
        <v>132497.32555258094</v>
      </c>
      <c r="H28">
        <f t="shared" si="4"/>
        <v>3131.5628844018647</v>
      </c>
      <c r="I28" s="25">
        <f t="shared" si="5"/>
        <v>-8584.8810192371639</v>
      </c>
      <c r="J28" s="25">
        <f t="shared" si="6"/>
        <v>129626.53327131676</v>
      </c>
      <c r="K28" s="25"/>
      <c r="L28" s="24">
        <f t="shared" si="8"/>
        <v>47539.533271316759</v>
      </c>
    </row>
    <row r="29" spans="1:12" x14ac:dyDescent="0.35">
      <c r="A29" s="4">
        <f t="shared" si="2"/>
        <v>26</v>
      </c>
      <c r="B29" s="5">
        <v>43890</v>
      </c>
      <c r="C29" s="6">
        <v>90055</v>
      </c>
      <c r="E29" s="5">
        <f t="shared" si="7"/>
        <v>43890</v>
      </c>
      <c r="F29" s="10">
        <f t="shared" si="7"/>
        <v>90055</v>
      </c>
      <c r="G29" s="25">
        <f t="shared" si="3"/>
        <v>133862.36803303906</v>
      </c>
      <c r="H29">
        <f t="shared" si="4"/>
        <v>1365.0424804581271</v>
      </c>
      <c r="I29" s="25">
        <f t="shared" si="5"/>
        <v>-17863.086292717711</v>
      </c>
      <c r="J29" s="25">
        <f t="shared" si="6"/>
        <v>119543.7253143516</v>
      </c>
      <c r="K29" s="25"/>
      <c r="L29" s="24">
        <f t="shared" si="8"/>
        <v>29488.725314351599</v>
      </c>
    </row>
    <row r="30" spans="1:12" x14ac:dyDescent="0.35">
      <c r="A30" s="4">
        <f t="shared" si="2"/>
        <v>27</v>
      </c>
      <c r="B30" s="5">
        <v>43921</v>
      </c>
      <c r="C30" s="6">
        <v>77921</v>
      </c>
      <c r="E30" s="5">
        <f t="shared" si="7"/>
        <v>43921</v>
      </c>
      <c r="F30" s="10">
        <f t="shared" si="7"/>
        <v>77921</v>
      </c>
      <c r="G30" s="25">
        <f t="shared" si="3"/>
        <v>131842.25862174819</v>
      </c>
      <c r="H30">
        <f t="shared" si="4"/>
        <v>-2020.1094112908759</v>
      </c>
      <c r="I30" s="25">
        <f t="shared" si="5"/>
        <v>-4204.6891344959704</v>
      </c>
      <c r="J30" s="25">
        <f t="shared" si="6"/>
        <v>134429.72419038476</v>
      </c>
      <c r="K30" s="25"/>
      <c r="L30" s="24">
        <f t="shared" si="8"/>
        <v>56508.724190384761</v>
      </c>
    </row>
    <row r="31" spans="1:12" x14ac:dyDescent="0.35">
      <c r="A31" s="4">
        <f t="shared" si="2"/>
        <v>28</v>
      </c>
      <c r="B31" s="5">
        <v>43951</v>
      </c>
      <c r="C31" s="9">
        <v>31224</v>
      </c>
      <c r="E31" s="5">
        <f t="shared" si="7"/>
        <v>43951</v>
      </c>
      <c r="F31" s="10">
        <f t="shared" si="7"/>
        <v>31224</v>
      </c>
      <c r="G31" s="25">
        <f t="shared" si="3"/>
        <v>124234.00597454615</v>
      </c>
      <c r="H31">
        <f t="shared" si="4"/>
        <v>-7608.25264720204</v>
      </c>
      <c r="I31" s="25">
        <f t="shared" si="5"/>
        <v>-10938.855143747138</v>
      </c>
      <c r="J31" s="25">
        <f t="shared" si="6"/>
        <v>124507.50837791098</v>
      </c>
      <c r="K31" s="25"/>
      <c r="L31" s="24">
        <f t="shared" si="8"/>
        <v>93283.508377910985</v>
      </c>
    </row>
    <row r="32" spans="1:12" x14ac:dyDescent="0.35">
      <c r="A32" s="4">
        <f t="shared" si="2"/>
        <v>29</v>
      </c>
      <c r="B32" s="5">
        <v>43982</v>
      </c>
      <c r="C32" s="10">
        <v>23641</v>
      </c>
      <c r="E32" s="5">
        <f t="shared" si="7"/>
        <v>43982</v>
      </c>
      <c r="F32" s="10">
        <f t="shared" si="7"/>
        <v>23641</v>
      </c>
      <c r="G32" s="25">
        <f t="shared" si="3"/>
        <v>110043.50618240805</v>
      </c>
      <c r="H32">
        <f t="shared" si="4"/>
        <v>-14190.4997921381</v>
      </c>
      <c r="I32" s="25">
        <f t="shared" si="5"/>
        <v>10268.709180517242</v>
      </c>
      <c r="J32" s="25">
        <f t="shared" si="6"/>
        <v>133519.19759956552</v>
      </c>
      <c r="K32" s="25"/>
      <c r="L32" s="24">
        <f t="shared" si="8"/>
        <v>109878.19759956552</v>
      </c>
    </row>
    <row r="33" spans="1:12" x14ac:dyDescent="0.35">
      <c r="A33" s="4">
        <f t="shared" si="2"/>
        <v>30</v>
      </c>
      <c r="B33" s="5">
        <v>44012</v>
      </c>
      <c r="C33">
        <v>36735</v>
      </c>
      <c r="E33" s="5">
        <f t="shared" si="7"/>
        <v>44012</v>
      </c>
      <c r="F33" s="10">
        <f t="shared" si="7"/>
        <v>36735</v>
      </c>
      <c r="G33" s="25">
        <f t="shared" ref="G33:G67" si="9">$F$96*(F33-I21)+(1-$F$96)*(G32+H32)</f>
        <v>92708.867610821748</v>
      </c>
      <c r="H33">
        <f t="shared" ref="H33:H67" si="10">$G$96*(G33-G32)+(1-$G$96)*H32</f>
        <v>-17334.6385715863</v>
      </c>
      <c r="I33" s="25">
        <f t="shared" ref="I33:I67" si="11">$H$96*(F33-G33)+(1-$H$96)*I21</f>
        <v>-9796.9753753487348</v>
      </c>
      <c r="J33" s="25">
        <f t="shared" si="6"/>
        <v>89220.464991154236</v>
      </c>
      <c r="K33" s="25"/>
      <c r="L33" s="24">
        <f t="shared" si="8"/>
        <v>52485.464991154236</v>
      </c>
    </row>
    <row r="34" spans="1:12" x14ac:dyDescent="0.35">
      <c r="A34" s="4">
        <f t="shared" si="2"/>
        <v>31</v>
      </c>
      <c r="B34" s="5">
        <v>44043</v>
      </c>
      <c r="C34">
        <v>44506</v>
      </c>
      <c r="E34" s="5">
        <f t="shared" si="7"/>
        <v>44043</v>
      </c>
      <c r="F34" s="10">
        <f t="shared" si="7"/>
        <v>44506</v>
      </c>
      <c r="G34" s="25">
        <f t="shared" si="9"/>
        <v>73451.923904420823</v>
      </c>
      <c r="H34">
        <f t="shared" si="10"/>
        <v>-19256.943706400925</v>
      </c>
      <c r="I34" s="25">
        <f t="shared" si="11"/>
        <v>-713.68503689542399</v>
      </c>
      <c r="J34" s="25">
        <f t="shared" si="6"/>
        <v>76595.257482882429</v>
      </c>
      <c r="K34" s="25"/>
      <c r="L34" s="24">
        <f t="shared" si="8"/>
        <v>32089.257482882429</v>
      </c>
    </row>
    <row r="35" spans="1:12" x14ac:dyDescent="0.35">
      <c r="A35" s="4">
        <f t="shared" si="2"/>
        <v>32</v>
      </c>
      <c r="B35" s="5">
        <v>44074</v>
      </c>
      <c r="C35">
        <v>55883</v>
      </c>
      <c r="E35" s="5">
        <f t="shared" si="7"/>
        <v>44074</v>
      </c>
      <c r="F35" s="10">
        <f t="shared" si="7"/>
        <v>55883</v>
      </c>
      <c r="G35" s="25">
        <f t="shared" si="9"/>
        <v>53324.199799341339</v>
      </c>
      <c r="H35">
        <f t="shared" si="10"/>
        <v>-20127.724105079484</v>
      </c>
      <c r="I35" s="25">
        <f t="shared" si="11"/>
        <v>15347.65446287385</v>
      </c>
      <c r="J35" s="25">
        <f t="shared" si="6"/>
        <v>70419.03588638283</v>
      </c>
      <c r="K35" s="25"/>
      <c r="L35" s="24">
        <f t="shared" si="8"/>
        <v>14536.03588638283</v>
      </c>
    </row>
    <row r="36" spans="1:12" x14ac:dyDescent="0.35">
      <c r="A36" s="4">
        <f t="shared" si="2"/>
        <v>33</v>
      </c>
      <c r="B36" s="5">
        <v>44104</v>
      </c>
      <c r="C36">
        <v>68914</v>
      </c>
      <c r="E36" s="5">
        <f t="shared" si="7"/>
        <v>44104</v>
      </c>
      <c r="F36" s="10">
        <f t="shared" si="7"/>
        <v>68914</v>
      </c>
      <c r="G36" s="25">
        <f t="shared" si="9"/>
        <v>35257.172727673518</v>
      </c>
      <c r="H36">
        <f t="shared" si="10"/>
        <v>-18067.027071667821</v>
      </c>
      <c r="I36" s="25">
        <f t="shared" si="11"/>
        <v>3392.0738639195542</v>
      </c>
      <c r="J36" s="25">
        <f t="shared" si="6"/>
        <v>34514.550868977589</v>
      </c>
      <c r="K36" s="25"/>
      <c r="L36" s="24">
        <f t="shared" si="8"/>
        <v>-34399.449131022411</v>
      </c>
    </row>
    <row r="37" spans="1:12" x14ac:dyDescent="0.35">
      <c r="A37" s="4">
        <f t="shared" si="2"/>
        <v>34</v>
      </c>
      <c r="B37" s="5">
        <v>44135</v>
      </c>
      <c r="C37">
        <v>47439</v>
      </c>
      <c r="E37" s="5">
        <f t="shared" ref="E37:F80" si="12">B37</f>
        <v>44135</v>
      </c>
      <c r="F37" s="10">
        <f t="shared" si="12"/>
        <v>47439</v>
      </c>
      <c r="G37" s="25">
        <f t="shared" si="9"/>
        <v>18385.73688179121</v>
      </c>
      <c r="H37">
        <f t="shared" si="10"/>
        <v>-16871.435845882308</v>
      </c>
      <c r="I37" s="25">
        <f t="shared" si="11"/>
        <v>11494.02319163532</v>
      </c>
      <c r="J37" s="25">
        <f t="shared" si="6"/>
        <v>27480.860163783953</v>
      </c>
      <c r="K37" s="25"/>
      <c r="L37" s="24">
        <f t="shared" si="8"/>
        <v>-19958.139836216047</v>
      </c>
    </row>
    <row r="38" spans="1:12" x14ac:dyDescent="0.35">
      <c r="A38" s="4">
        <f t="shared" si="2"/>
        <v>35</v>
      </c>
      <c r="B38" s="5">
        <v>44165</v>
      </c>
      <c r="C38">
        <v>75926</v>
      </c>
      <c r="E38" s="5">
        <f t="shared" si="12"/>
        <v>44165</v>
      </c>
      <c r="F38" s="10">
        <f t="shared" si="12"/>
        <v>75926</v>
      </c>
      <c r="G38" s="25">
        <f t="shared" si="9"/>
        <v>6615.3298827544722</v>
      </c>
      <c r="H38">
        <f t="shared" si="10"/>
        <v>-11770.406999036739</v>
      </c>
      <c r="I38" s="25">
        <f t="shared" si="11"/>
        <v>-5606.3980765975466</v>
      </c>
      <c r="J38" s="25">
        <f t="shared" si="6"/>
        <v>-9226.0526733772858</v>
      </c>
      <c r="K38" s="25"/>
      <c r="L38" s="24">
        <f t="shared" si="8"/>
        <v>-85152.052673377286</v>
      </c>
    </row>
    <row r="39" spans="1:12" x14ac:dyDescent="0.35">
      <c r="A39" s="4">
        <f t="shared" si="2"/>
        <v>36</v>
      </c>
      <c r="B39" s="5">
        <v>44196</v>
      </c>
      <c r="C39">
        <v>67387</v>
      </c>
      <c r="E39" s="5">
        <f t="shared" si="12"/>
        <v>44196</v>
      </c>
      <c r="F39" s="10">
        <f t="shared" si="12"/>
        <v>67387</v>
      </c>
      <c r="G39" s="25">
        <f t="shared" si="9"/>
        <v>-895.02182375423081</v>
      </c>
      <c r="H39">
        <f t="shared" si="10"/>
        <v>-7510.3517065087035</v>
      </c>
      <c r="I39" s="25">
        <f t="shared" si="11"/>
        <v>5716.0449508288948</v>
      </c>
      <c r="J39" s="25">
        <f t="shared" si="6"/>
        <v>-3726.5858181178055</v>
      </c>
      <c r="K39" s="25"/>
      <c r="L39" s="24">
        <f t="shared" si="8"/>
        <v>-71113.585818117805</v>
      </c>
    </row>
    <row r="40" spans="1:12" x14ac:dyDescent="0.35">
      <c r="A40" s="4">
        <f t="shared" si="2"/>
        <v>37</v>
      </c>
      <c r="B40" s="5">
        <v>44227</v>
      </c>
      <c r="C40">
        <v>60442</v>
      </c>
      <c r="E40" s="5">
        <f t="shared" si="12"/>
        <v>44227</v>
      </c>
      <c r="F40" s="10">
        <f t="shared" si="12"/>
        <v>60442</v>
      </c>
      <c r="G40" s="25">
        <f t="shared" si="9"/>
        <v>-3766.7987486501761</v>
      </c>
      <c r="H40">
        <f t="shared" si="10"/>
        <v>-2871.7769248959453</v>
      </c>
      <c r="I40" s="25">
        <f t="shared" si="11"/>
        <v>-3916.3645605555366</v>
      </c>
      <c r="J40" s="25">
        <f t="shared" si="6"/>
        <v>-16990.254549500096</v>
      </c>
      <c r="K40" s="25"/>
      <c r="L40" s="24">
        <f t="shared" si="8"/>
        <v>-77432.254549500096</v>
      </c>
    </row>
    <row r="41" spans="1:12" x14ac:dyDescent="0.35">
      <c r="A41" s="4">
        <f t="shared" si="2"/>
        <v>38</v>
      </c>
      <c r="B41" s="5">
        <v>44255</v>
      </c>
      <c r="C41">
        <v>63811</v>
      </c>
      <c r="E41" s="5">
        <f t="shared" si="12"/>
        <v>44255</v>
      </c>
      <c r="F41" s="10">
        <f t="shared" si="12"/>
        <v>63811</v>
      </c>
      <c r="G41" s="25">
        <f t="shared" si="9"/>
        <v>-1348.2107077174433</v>
      </c>
      <c r="H41">
        <f t="shared" si="10"/>
        <v>2418.5880409327328</v>
      </c>
      <c r="I41" s="25">
        <f t="shared" si="11"/>
        <v>-12538.572389588033</v>
      </c>
      <c r="J41" s="25">
        <f t="shared" si="6"/>
        <v>-24501.661966263833</v>
      </c>
      <c r="K41" s="25"/>
      <c r="L41" s="24">
        <f t="shared" si="8"/>
        <v>-88312.66196626384</v>
      </c>
    </row>
    <row r="42" spans="1:12" x14ac:dyDescent="0.35">
      <c r="A42" s="4">
        <f t="shared" si="2"/>
        <v>39</v>
      </c>
      <c r="B42" s="5">
        <v>44286</v>
      </c>
      <c r="C42">
        <v>55821</v>
      </c>
      <c r="E42" s="5">
        <f t="shared" si="12"/>
        <v>44286</v>
      </c>
      <c r="F42" s="10">
        <f t="shared" si="12"/>
        <v>55821</v>
      </c>
      <c r="G42" s="25">
        <f t="shared" si="9"/>
        <v>4602.0919159117984</v>
      </c>
      <c r="H42">
        <f t="shared" si="10"/>
        <v>5950.3026236292417</v>
      </c>
      <c r="I42" s="25">
        <f t="shared" si="11"/>
        <v>-650.17758020514975</v>
      </c>
      <c r="J42" s="25">
        <f t="shared" si="6"/>
        <v>-3134.3118012806808</v>
      </c>
      <c r="K42" s="25"/>
      <c r="L42" s="24">
        <f t="shared" si="8"/>
        <v>-58955.311801280681</v>
      </c>
    </row>
    <row r="43" spans="1:12" x14ac:dyDescent="0.35">
      <c r="A43" s="4">
        <f t="shared" si="2"/>
        <v>40</v>
      </c>
      <c r="B43" s="5">
        <v>44316</v>
      </c>
      <c r="C43">
        <v>33014</v>
      </c>
      <c r="E43" s="5">
        <f t="shared" si="12"/>
        <v>44316</v>
      </c>
      <c r="F43" s="10">
        <f t="shared" si="12"/>
        <v>33014</v>
      </c>
      <c r="G43" s="25">
        <f t="shared" si="9"/>
        <v>12553.247222370757</v>
      </c>
      <c r="H43">
        <f t="shared" si="10"/>
        <v>7951.1553064589589</v>
      </c>
      <c r="I43" s="25">
        <f t="shared" si="11"/>
        <v>-8925.0870962392128</v>
      </c>
      <c r="J43" s="25">
        <f t="shared" si="6"/>
        <v>-386.46060420609683</v>
      </c>
      <c r="K43" s="25"/>
      <c r="L43" s="24">
        <f t="shared" si="8"/>
        <v>-33400.460604206099</v>
      </c>
    </row>
    <row r="44" spans="1:12" x14ac:dyDescent="0.35">
      <c r="A44" s="4">
        <f t="shared" si="2"/>
        <v>41</v>
      </c>
      <c r="B44" s="5">
        <v>44347</v>
      </c>
      <c r="C44">
        <v>11690</v>
      </c>
      <c r="E44" s="5">
        <f t="shared" si="12"/>
        <v>44347</v>
      </c>
      <c r="F44" s="10">
        <f t="shared" si="12"/>
        <v>11690</v>
      </c>
      <c r="G44" s="25">
        <f t="shared" si="9"/>
        <v>19361.22981295472</v>
      </c>
      <c r="H44">
        <f t="shared" si="10"/>
        <v>6807.9825905839625</v>
      </c>
      <c r="I44" s="25">
        <f t="shared" si="11"/>
        <v>9118.1573644004329</v>
      </c>
      <c r="J44" s="25">
        <f t="shared" si="6"/>
        <v>30773.111709346958</v>
      </c>
      <c r="K44" s="25"/>
      <c r="L44" s="24">
        <f t="shared" si="8"/>
        <v>19083.111709346958</v>
      </c>
    </row>
    <row r="45" spans="1:12" x14ac:dyDescent="0.35">
      <c r="A45" s="4">
        <f t="shared" si="2"/>
        <v>42</v>
      </c>
      <c r="B45" s="5">
        <v>44377</v>
      </c>
      <c r="C45">
        <v>9100</v>
      </c>
      <c r="E45" s="5">
        <f t="shared" si="12"/>
        <v>44377</v>
      </c>
      <c r="F45" s="10">
        <f t="shared" si="12"/>
        <v>9100</v>
      </c>
      <c r="G45" s="25">
        <f t="shared" si="9"/>
        <v>25733.569460153787</v>
      </c>
      <c r="H45">
        <f t="shared" si="10"/>
        <v>6372.3396471990673</v>
      </c>
      <c r="I45" s="25">
        <f t="shared" si="11"/>
        <v>-10235.430363584099</v>
      </c>
      <c r="J45" s="25">
        <f t="shared" si="6"/>
        <v>16372.237028189946</v>
      </c>
      <c r="K45" s="25"/>
      <c r="L45" s="24">
        <f t="shared" si="8"/>
        <v>7272.2370281899457</v>
      </c>
    </row>
    <row r="46" spans="1:12" x14ac:dyDescent="0.35">
      <c r="A46" s="4">
        <f t="shared" si="2"/>
        <v>43</v>
      </c>
      <c r="B46" s="5">
        <v>44408</v>
      </c>
      <c r="C46">
        <v>8510</v>
      </c>
      <c r="E46" s="5">
        <f t="shared" si="12"/>
        <v>44408</v>
      </c>
      <c r="F46" s="10">
        <f t="shared" si="12"/>
        <v>8510</v>
      </c>
      <c r="G46" s="25">
        <f t="shared" si="9"/>
        <v>30735.150782699093</v>
      </c>
      <c r="H46">
        <f t="shared" si="10"/>
        <v>5001.5813225453057</v>
      </c>
      <c r="I46" s="25">
        <f t="shared" si="11"/>
        <v>-2093.2915110409076</v>
      </c>
      <c r="J46" s="25">
        <f t="shared" si="6"/>
        <v>31392.224070457429</v>
      </c>
      <c r="K46" s="25"/>
      <c r="L46" s="24">
        <f t="shared" si="8"/>
        <v>22882.224070457429</v>
      </c>
    </row>
    <row r="47" spans="1:12" x14ac:dyDescent="0.35">
      <c r="A47" s="4">
        <f t="shared" si="2"/>
        <v>44</v>
      </c>
      <c r="B47" s="5">
        <v>44439</v>
      </c>
      <c r="C47">
        <v>10133</v>
      </c>
      <c r="E47" s="5">
        <f t="shared" si="12"/>
        <v>44439</v>
      </c>
      <c r="F47" s="10">
        <f t="shared" si="12"/>
        <v>10133</v>
      </c>
      <c r="G47" s="25">
        <f t="shared" si="9"/>
        <v>33283.541634269342</v>
      </c>
      <c r="H47">
        <f t="shared" si="10"/>
        <v>2548.3908515702497</v>
      </c>
      <c r="I47" s="25">
        <f t="shared" si="11"/>
        <v>12878.62881831023</v>
      </c>
      <c r="J47" s="25">
        <f t="shared" si="6"/>
        <v>51084.386568118251</v>
      </c>
      <c r="K47" s="25"/>
      <c r="L47" s="24">
        <f t="shared" si="8"/>
        <v>40951.386568118251</v>
      </c>
    </row>
    <row r="48" spans="1:12" x14ac:dyDescent="0.35">
      <c r="A48" s="4">
        <f t="shared" si="2"/>
        <v>45</v>
      </c>
      <c r="B48" s="5">
        <v>44469</v>
      </c>
      <c r="C48">
        <v>10459</v>
      </c>
      <c r="E48" s="5">
        <f t="shared" si="12"/>
        <v>44469</v>
      </c>
      <c r="F48" s="10">
        <f t="shared" si="12"/>
        <v>10459</v>
      </c>
      <c r="G48" s="25">
        <f t="shared" si="9"/>
        <v>34108.766425091264</v>
      </c>
      <c r="H48">
        <f t="shared" si="10"/>
        <v>825.22479082192149</v>
      </c>
      <c r="I48" s="25">
        <f t="shared" si="11"/>
        <v>1657.7848862935105</v>
      </c>
      <c r="J48" s="25">
        <f t="shared" si="6"/>
        <v>39224.006349759147</v>
      </c>
      <c r="K48" s="25"/>
      <c r="L48" s="24">
        <f t="shared" si="8"/>
        <v>28765.006349759147</v>
      </c>
    </row>
    <row r="49" spans="1:12" x14ac:dyDescent="0.35">
      <c r="A49" s="4">
        <f t="shared" si="2"/>
        <v>46</v>
      </c>
      <c r="B49" s="5">
        <v>44500</v>
      </c>
      <c r="C49">
        <v>14893</v>
      </c>
      <c r="E49" s="5">
        <f t="shared" si="12"/>
        <v>44500</v>
      </c>
      <c r="F49" s="10">
        <f t="shared" si="12"/>
        <v>14893</v>
      </c>
      <c r="G49" s="25">
        <f t="shared" si="9"/>
        <v>33044.887980837695</v>
      </c>
      <c r="H49">
        <f t="shared" si="10"/>
        <v>-1063.8784442535689</v>
      </c>
      <c r="I49" s="25">
        <f t="shared" si="11"/>
        <v>9592.7259267818481</v>
      </c>
      <c r="J49" s="25">
        <f t="shared" si="6"/>
        <v>46428.014407548508</v>
      </c>
      <c r="K49" s="25"/>
      <c r="L49" s="24">
        <f t="shared" si="8"/>
        <v>31535.014407548508</v>
      </c>
    </row>
    <row r="50" spans="1:12" x14ac:dyDescent="0.35">
      <c r="A50" s="4">
        <f t="shared" si="2"/>
        <v>47</v>
      </c>
      <c r="B50" s="5">
        <v>44530</v>
      </c>
      <c r="C50">
        <v>20774</v>
      </c>
      <c r="E50" s="5">
        <f t="shared" si="12"/>
        <v>44530</v>
      </c>
      <c r="F50" s="10">
        <f t="shared" si="12"/>
        <v>20774</v>
      </c>
      <c r="G50" s="25">
        <f t="shared" si="9"/>
        <v>31645.505227287569</v>
      </c>
      <c r="H50">
        <f t="shared" si="10"/>
        <v>-1399.3827535501259</v>
      </c>
      <c r="I50" s="25">
        <f t="shared" si="11"/>
        <v>-5944.0680428376954</v>
      </c>
      <c r="J50" s="25">
        <f t="shared" si="6"/>
        <v>26374.61145998658</v>
      </c>
      <c r="K50" s="25"/>
      <c r="L50" s="24">
        <f t="shared" si="8"/>
        <v>5600.6114599865796</v>
      </c>
    </row>
    <row r="51" spans="1:12" x14ac:dyDescent="0.35">
      <c r="A51" s="4">
        <f t="shared" si="2"/>
        <v>48</v>
      </c>
      <c r="B51" s="5">
        <v>44561</v>
      </c>
      <c r="C51">
        <v>32567</v>
      </c>
      <c r="E51" s="5">
        <f t="shared" si="12"/>
        <v>44561</v>
      </c>
      <c r="F51" s="10">
        <f t="shared" si="12"/>
        <v>32567</v>
      </c>
      <c r="G51" s="25">
        <f t="shared" si="9"/>
        <v>30042.735163286874</v>
      </c>
      <c r="H51">
        <f t="shared" si="10"/>
        <v>-1602.7700640006951</v>
      </c>
      <c r="I51" s="25">
        <f t="shared" si="11"/>
        <v>5511.3447894583514</v>
      </c>
      <c r="J51" s="25">
        <f t="shared" si="6"/>
        <v>35962.167424566338</v>
      </c>
      <c r="K51" s="25"/>
      <c r="L51" s="24">
        <f t="shared" si="8"/>
        <v>3395.167424566338</v>
      </c>
    </row>
    <row r="52" spans="1:12" x14ac:dyDescent="0.35">
      <c r="A52" s="4">
        <f t="shared" si="2"/>
        <v>49</v>
      </c>
      <c r="B52" s="5">
        <v>44592</v>
      </c>
      <c r="C52">
        <v>59844</v>
      </c>
      <c r="E52" s="5">
        <f t="shared" si="12"/>
        <v>44592</v>
      </c>
      <c r="F52" s="10">
        <f t="shared" si="12"/>
        <v>59844</v>
      </c>
      <c r="G52" s="25">
        <f t="shared" si="9"/>
        <v>30555.831609576115</v>
      </c>
      <c r="H52">
        <f t="shared" si="10"/>
        <v>513.0964462892407</v>
      </c>
      <c r="I52" s="25">
        <f t="shared" si="11"/>
        <v>-1786.8402793435769</v>
      </c>
      <c r="J52" s="25">
        <f t="shared" si="6"/>
        <v>24523.600538730643</v>
      </c>
      <c r="K52" s="25"/>
      <c r="L52" s="24">
        <f t="shared" si="8"/>
        <v>-35320.399461269357</v>
      </c>
    </row>
    <row r="53" spans="1:12" x14ac:dyDescent="0.35">
      <c r="A53" s="4">
        <f t="shared" si="2"/>
        <v>50</v>
      </c>
      <c r="B53" s="5">
        <v>44620</v>
      </c>
      <c r="C53">
        <v>21730</v>
      </c>
      <c r="E53" s="5">
        <f t="shared" si="12"/>
        <v>44620</v>
      </c>
      <c r="F53" s="10">
        <f t="shared" si="12"/>
        <v>21730</v>
      </c>
      <c r="G53" s="25">
        <f t="shared" si="9"/>
        <v>31260.602566737929</v>
      </c>
      <c r="H53">
        <f t="shared" si="10"/>
        <v>704.77095716181429</v>
      </c>
      <c r="I53" s="25">
        <f t="shared" si="11"/>
        <v>-12345.660633100786</v>
      </c>
      <c r="J53" s="25">
        <f t="shared" si="6"/>
        <v>18530.355666277323</v>
      </c>
      <c r="K53" s="25"/>
      <c r="L53" s="24">
        <f t="shared" si="8"/>
        <v>-3199.6443337226774</v>
      </c>
    </row>
    <row r="54" spans="1:12" x14ac:dyDescent="0.35">
      <c r="A54" s="4">
        <f t="shared" si="2"/>
        <v>51</v>
      </c>
      <c r="B54" s="5">
        <v>44651</v>
      </c>
      <c r="C54">
        <v>32597</v>
      </c>
      <c r="E54" s="5">
        <f t="shared" si="12"/>
        <v>44651</v>
      </c>
      <c r="F54" s="10">
        <f t="shared" si="12"/>
        <v>32597</v>
      </c>
      <c r="G54" s="25">
        <f t="shared" si="9"/>
        <v>32042.159922605802</v>
      </c>
      <c r="H54">
        <f t="shared" si="10"/>
        <v>781.55735586787341</v>
      </c>
      <c r="I54" s="25">
        <f t="shared" si="11"/>
        <v>-572.8955306447665</v>
      </c>
      <c r="J54" s="25">
        <f t="shared" si="6"/>
        <v>31315.195943694594</v>
      </c>
      <c r="K54" s="25"/>
      <c r="L54" s="24">
        <f t="shared" si="8"/>
        <v>-1281.8040563054055</v>
      </c>
    </row>
    <row r="55" spans="1:12" x14ac:dyDescent="0.35">
      <c r="A55" s="4">
        <f t="shared" si="2"/>
        <v>52</v>
      </c>
      <c r="B55" s="5">
        <v>44681</v>
      </c>
      <c r="C55">
        <v>25446</v>
      </c>
      <c r="E55" s="5">
        <f t="shared" si="12"/>
        <v>44681</v>
      </c>
      <c r="F55" s="10">
        <f t="shared" si="12"/>
        <v>25446</v>
      </c>
      <c r="G55" s="25">
        <f t="shared" si="9"/>
        <v>32916.412378936337</v>
      </c>
      <c r="H55">
        <f t="shared" si="10"/>
        <v>874.25245633053419</v>
      </c>
      <c r="I55" s="25">
        <f t="shared" si="11"/>
        <v>-8831.7936553606778</v>
      </c>
      <c r="J55" s="25">
        <f t="shared" si="6"/>
        <v>23898.630182234461</v>
      </c>
      <c r="K55" s="25"/>
      <c r="L55" s="24">
        <f t="shared" si="8"/>
        <v>-1547.3698177655388</v>
      </c>
    </row>
    <row r="56" spans="1:12" x14ac:dyDescent="0.35">
      <c r="A56" s="4">
        <f t="shared" si="2"/>
        <v>53</v>
      </c>
      <c r="B56" s="5">
        <v>44712</v>
      </c>
      <c r="C56">
        <v>49191</v>
      </c>
      <c r="E56" s="5">
        <f t="shared" si="12"/>
        <v>44712</v>
      </c>
      <c r="F56" s="10">
        <f t="shared" si="12"/>
        <v>49191</v>
      </c>
      <c r="G56" s="25">
        <f t="shared" si="9"/>
        <v>34166.99833721343</v>
      </c>
      <c r="H56">
        <f t="shared" si="10"/>
        <v>1250.5859582770936</v>
      </c>
      <c r="I56" s="25">
        <f t="shared" si="11"/>
        <v>9496.9200728847736</v>
      </c>
      <c r="J56" s="25">
        <f t="shared" si="6"/>
        <v>42908.822199667302</v>
      </c>
      <c r="K56" s="25"/>
      <c r="L56" s="24">
        <f t="shared" si="8"/>
        <v>-6282.1778003326981</v>
      </c>
    </row>
    <row r="57" spans="1:12" x14ac:dyDescent="0.35">
      <c r="A57" s="4">
        <f t="shared" si="2"/>
        <v>54</v>
      </c>
      <c r="B57" s="5">
        <v>44742</v>
      </c>
      <c r="C57">
        <v>32408</v>
      </c>
      <c r="E57" s="5">
        <f t="shared" si="12"/>
        <v>44742</v>
      </c>
      <c r="F57" s="10">
        <f t="shared" si="12"/>
        <v>32408</v>
      </c>
      <c r="G57" s="25">
        <f t="shared" si="9"/>
        <v>35850.448191063238</v>
      </c>
      <c r="H57">
        <f t="shared" si="10"/>
        <v>1683.4498538498083</v>
      </c>
      <c r="I57" s="25">
        <f t="shared" si="11"/>
        <v>-9799.7723617209376</v>
      </c>
      <c r="J57" s="25">
        <f t="shared" si="6"/>
        <v>25182.153931906425</v>
      </c>
      <c r="K57" s="25"/>
      <c r="L57" s="24">
        <f t="shared" si="8"/>
        <v>-7225.846068093575</v>
      </c>
    </row>
    <row r="58" spans="1:12" x14ac:dyDescent="0.35">
      <c r="A58" s="4">
        <f t="shared" si="2"/>
        <v>55</v>
      </c>
      <c r="B58" s="5">
        <v>44773</v>
      </c>
      <c r="C58">
        <v>28554</v>
      </c>
      <c r="E58" s="5">
        <f t="shared" si="12"/>
        <v>44773</v>
      </c>
      <c r="F58" s="10">
        <f t="shared" si="12"/>
        <v>28554</v>
      </c>
      <c r="G58" s="25">
        <f t="shared" si="9"/>
        <v>37121.356274241909</v>
      </c>
      <c r="H58">
        <f t="shared" si="10"/>
        <v>1270.9080831786705</v>
      </c>
      <c r="I58" s="25">
        <f t="shared" si="11"/>
        <v>-2508.4962101019928</v>
      </c>
      <c r="J58" s="25">
        <f t="shared" si="6"/>
        <v>35440.606533872138</v>
      </c>
      <c r="K58" s="25"/>
      <c r="L58" s="24">
        <f t="shared" si="8"/>
        <v>6886.6065338721382</v>
      </c>
    </row>
    <row r="59" spans="1:12" x14ac:dyDescent="0.35">
      <c r="A59" s="4">
        <f t="shared" si="2"/>
        <v>56</v>
      </c>
      <c r="B59" s="5">
        <v>44804</v>
      </c>
      <c r="C59">
        <v>44473</v>
      </c>
      <c r="E59" s="5">
        <f t="shared" si="12"/>
        <v>44804</v>
      </c>
      <c r="F59" s="10">
        <f t="shared" si="12"/>
        <v>44473</v>
      </c>
      <c r="G59" s="25">
        <f t="shared" si="9"/>
        <v>37985.036955396725</v>
      </c>
      <c r="H59">
        <f t="shared" si="10"/>
        <v>863.68068115481583</v>
      </c>
      <c r="I59" s="25">
        <f t="shared" si="11"/>
        <v>12468.772791775824</v>
      </c>
      <c r="J59" s="25">
        <f t="shared" si="6"/>
        <v>51270.893175730809</v>
      </c>
      <c r="K59" s="25"/>
      <c r="L59" s="24">
        <f t="shared" si="8"/>
        <v>6797.8931757308092</v>
      </c>
    </row>
    <row r="60" spans="1:12" x14ac:dyDescent="0.35">
      <c r="A60" s="4">
        <f t="shared" si="2"/>
        <v>57</v>
      </c>
      <c r="B60" s="5">
        <v>44834</v>
      </c>
      <c r="C60">
        <v>42148</v>
      </c>
      <c r="E60" s="5">
        <f t="shared" si="12"/>
        <v>44834</v>
      </c>
      <c r="F60" s="10">
        <f t="shared" si="12"/>
        <v>42148</v>
      </c>
      <c r="G60" s="25">
        <f t="shared" si="9"/>
        <v>38947.051449068189</v>
      </c>
      <c r="H60">
        <f t="shared" si="10"/>
        <v>962.01449367146415</v>
      </c>
      <c r="I60" s="25">
        <f t="shared" si="11"/>
        <v>1756.7534367195258</v>
      </c>
      <c r="J60" s="25">
        <f t="shared" si="6"/>
        <v>40506.502522845054</v>
      </c>
      <c r="K60" s="25"/>
      <c r="L60" s="24">
        <f t="shared" si="8"/>
        <v>-1641.497477154946</v>
      </c>
    </row>
    <row r="61" spans="1:12" x14ac:dyDescent="0.35">
      <c r="A61" s="4">
        <f t="shared" si="2"/>
        <v>58</v>
      </c>
      <c r="B61" s="5">
        <v>44865</v>
      </c>
      <c r="C61">
        <v>40341</v>
      </c>
      <c r="E61" s="5">
        <f t="shared" si="12"/>
        <v>44865</v>
      </c>
      <c r="F61" s="10">
        <f t="shared" si="12"/>
        <v>40341</v>
      </c>
      <c r="G61" s="25">
        <f t="shared" si="9"/>
        <v>39360.289229562579</v>
      </c>
      <c r="H61">
        <f t="shared" si="10"/>
        <v>413.23778049438988</v>
      </c>
      <c r="I61" s="25">
        <f t="shared" si="11"/>
        <v>9040.4068981517557</v>
      </c>
      <c r="J61" s="25">
        <f t="shared" si="6"/>
        <v>49501.791869521505</v>
      </c>
      <c r="K61" s="25"/>
      <c r="L61" s="24">
        <f t="shared" si="8"/>
        <v>9160.7918695215049</v>
      </c>
    </row>
    <row r="62" spans="1:12" x14ac:dyDescent="0.35">
      <c r="A62" s="4">
        <f t="shared" si="2"/>
        <v>59</v>
      </c>
      <c r="B62" s="5">
        <v>44895</v>
      </c>
      <c r="C62">
        <v>41282</v>
      </c>
      <c r="E62" s="5">
        <f t="shared" si="12"/>
        <v>44895</v>
      </c>
      <c r="F62" s="10">
        <f t="shared" si="12"/>
        <v>41282</v>
      </c>
      <c r="G62" s="25">
        <f t="shared" si="9"/>
        <v>40219.971054528025</v>
      </c>
      <c r="H62">
        <f t="shared" si="10"/>
        <v>859.68182496544614</v>
      </c>
      <c r="I62" s="25">
        <f t="shared" si="11"/>
        <v>-5494.7422331611178</v>
      </c>
      <c r="J62" s="25">
        <f t="shared" si="6"/>
        <v>33829.458967219274</v>
      </c>
      <c r="K62" s="25"/>
      <c r="L62" s="24">
        <f t="shared" si="8"/>
        <v>-7452.5410327807258</v>
      </c>
    </row>
    <row r="63" spans="1:12" x14ac:dyDescent="0.35">
      <c r="A63" s="4">
        <f t="shared" si="2"/>
        <v>60</v>
      </c>
      <c r="B63" s="5">
        <v>44926</v>
      </c>
      <c r="C63">
        <v>40045</v>
      </c>
      <c r="E63" s="5">
        <f t="shared" si="12"/>
        <v>44926</v>
      </c>
      <c r="F63" s="10">
        <f t="shared" si="12"/>
        <v>40045</v>
      </c>
      <c r="G63" s="25">
        <f t="shared" si="9"/>
        <v>40687.515263401139</v>
      </c>
      <c r="H63">
        <f t="shared" si="10"/>
        <v>467.54420887311426</v>
      </c>
      <c r="I63" s="25">
        <f t="shared" si="11"/>
        <v>5116.6759523724186</v>
      </c>
      <c r="J63" s="25">
        <f t="shared" si="6"/>
        <v>46590.997668951823</v>
      </c>
      <c r="K63" s="25"/>
      <c r="L63" s="24">
        <f t="shared" si="8"/>
        <v>6545.9976689518226</v>
      </c>
    </row>
    <row r="64" spans="1:12" x14ac:dyDescent="0.35">
      <c r="A64" s="4">
        <f t="shared" si="2"/>
        <v>61</v>
      </c>
      <c r="B64" s="5">
        <v>44957</v>
      </c>
      <c r="C64">
        <v>30805</v>
      </c>
      <c r="E64" s="5">
        <f t="shared" si="12"/>
        <v>44957</v>
      </c>
      <c r="F64" s="10">
        <f t="shared" si="12"/>
        <v>30805</v>
      </c>
      <c r="G64" s="25">
        <f t="shared" si="9"/>
        <v>40642.080316122236</v>
      </c>
      <c r="H64">
        <f t="shared" si="10"/>
        <v>-45.434947278903564</v>
      </c>
      <c r="I64" s="25">
        <f t="shared" si="11"/>
        <v>-2303.1306802118461</v>
      </c>
      <c r="J64" s="25">
        <f t="shared" si="6"/>
        <v>39368.219192930679</v>
      </c>
      <c r="K64" s="25"/>
      <c r="L64" s="24">
        <f t="shared" si="8"/>
        <v>8563.2191929306791</v>
      </c>
    </row>
    <row r="65" spans="1:12" x14ac:dyDescent="0.35">
      <c r="A65" s="4">
        <f t="shared" si="2"/>
        <v>62</v>
      </c>
      <c r="B65" s="5">
        <v>44985</v>
      </c>
      <c r="C65">
        <v>36904</v>
      </c>
      <c r="E65" s="5">
        <f t="shared" si="12"/>
        <v>44985</v>
      </c>
      <c r="F65" s="10">
        <f t="shared" si="12"/>
        <v>36904</v>
      </c>
      <c r="G65" s="25">
        <f t="shared" si="9"/>
        <v>41115.003753514109</v>
      </c>
      <c r="H65">
        <f t="shared" si="10"/>
        <v>472.92343739187345</v>
      </c>
      <c r="I65" s="25">
        <f t="shared" si="11"/>
        <v>-11823.956281168417</v>
      </c>
      <c r="J65" s="25">
        <f t="shared" si="6"/>
        <v>28250.984735742546</v>
      </c>
      <c r="K65" s="25"/>
      <c r="L65" s="24">
        <f t="shared" si="8"/>
        <v>-8653.015264257454</v>
      </c>
    </row>
    <row r="66" spans="1:12" x14ac:dyDescent="0.35">
      <c r="A66" s="4">
        <f t="shared" si="2"/>
        <v>63</v>
      </c>
      <c r="B66" s="5">
        <v>45016</v>
      </c>
      <c r="C66">
        <v>47258</v>
      </c>
      <c r="E66" s="5">
        <f t="shared" si="12"/>
        <v>45016</v>
      </c>
      <c r="F66" s="10">
        <f t="shared" si="12"/>
        <v>47258</v>
      </c>
      <c r="G66" s="25">
        <f t="shared" si="9"/>
        <v>41961.911852357458</v>
      </c>
      <c r="H66">
        <f t="shared" si="10"/>
        <v>846.90809884334885</v>
      </c>
      <c r="I66" s="25">
        <f t="shared" si="11"/>
        <v>-196.49682425727457</v>
      </c>
      <c r="J66" s="25">
        <f t="shared" si="6"/>
        <v>41015.031660261215</v>
      </c>
      <c r="K66" s="25"/>
      <c r="L66" s="24">
        <f t="shared" si="8"/>
        <v>-6242.9683397387853</v>
      </c>
    </row>
    <row r="67" spans="1:12" x14ac:dyDescent="0.35">
      <c r="A67" s="4">
        <f t="shared" si="2"/>
        <v>64</v>
      </c>
      <c r="B67" s="5">
        <v>45046</v>
      </c>
      <c r="C67">
        <v>33977</v>
      </c>
      <c r="E67" s="5">
        <f t="shared" si="12"/>
        <v>45046</v>
      </c>
      <c r="F67" s="28">
        <f t="shared" si="12"/>
        <v>33977</v>
      </c>
      <c r="G67" s="29">
        <f t="shared" si="9"/>
        <v>42808.81837595001</v>
      </c>
      <c r="H67" s="18">
        <f t="shared" si="10"/>
        <v>846.90652359255182</v>
      </c>
      <c r="I67" s="29">
        <f t="shared" si="11"/>
        <v>-8831.7952407796129</v>
      </c>
      <c r="J67" s="29">
        <f t="shared" si="6"/>
        <v>33977.026295840129</v>
      </c>
      <c r="K67" s="29"/>
      <c r="L67" s="19">
        <f t="shared" si="8"/>
        <v>2.6295840129023418E-2</v>
      </c>
    </row>
    <row r="68" spans="1:12" x14ac:dyDescent="0.35">
      <c r="A68" s="4">
        <f t="shared" si="2"/>
        <v>65</v>
      </c>
      <c r="B68" s="5">
        <v>45077</v>
      </c>
      <c r="C68">
        <v>51732</v>
      </c>
      <c r="E68" s="5">
        <f t="shared" si="12"/>
        <v>45077</v>
      </c>
      <c r="F68" s="10">
        <f t="shared" si="12"/>
        <v>51732</v>
      </c>
      <c r="G68" s="25"/>
      <c r="I68" s="25">
        <f>I56</f>
        <v>9496.9200728847736</v>
      </c>
      <c r="J68" s="25">
        <f>$G$67+$H$67*(ROW(G68)-ROW($G$67))+I68</f>
        <v>53152.644972427333</v>
      </c>
      <c r="K68" s="25"/>
      <c r="L68" s="24">
        <f t="shared" si="8"/>
        <v>1420.6449724273334</v>
      </c>
    </row>
    <row r="69" spans="1:12" x14ac:dyDescent="0.35">
      <c r="A69" s="4">
        <f t="shared" si="2"/>
        <v>66</v>
      </c>
      <c r="B69" s="5">
        <v>45107</v>
      </c>
      <c r="C69">
        <v>42493</v>
      </c>
      <c r="E69" s="5">
        <f t="shared" si="12"/>
        <v>45107</v>
      </c>
      <c r="F69" s="10">
        <f t="shared" si="12"/>
        <v>42493</v>
      </c>
      <c r="G69" s="25"/>
      <c r="I69" s="25">
        <f t="shared" ref="I69:I87" si="13">I57</f>
        <v>-9799.7723617209376</v>
      </c>
      <c r="J69" s="25">
        <f t="shared" ref="J69:J79" si="14">$G$67+$H$67*(ROW(G69)-ROW($G$67))+I69</f>
        <v>34702.859061414172</v>
      </c>
      <c r="K69" s="25"/>
      <c r="L69" s="24">
        <f t="shared" si="8"/>
        <v>-7790.1409385858278</v>
      </c>
    </row>
    <row r="70" spans="1:12" x14ac:dyDescent="0.35">
      <c r="A70" s="4">
        <f t="shared" ref="A70:A81" si="15">A69+1</f>
        <v>67</v>
      </c>
      <c r="B70" s="5">
        <v>45138</v>
      </c>
      <c r="C70">
        <v>33368</v>
      </c>
      <c r="E70" s="5">
        <f t="shared" si="12"/>
        <v>45138</v>
      </c>
      <c r="F70" s="10">
        <f t="shared" si="12"/>
        <v>33368</v>
      </c>
      <c r="G70" s="25"/>
      <c r="I70" s="25">
        <f t="shared" si="13"/>
        <v>-2508.4962101019928</v>
      </c>
      <c r="J70" s="25">
        <f t="shared" si="14"/>
        <v>42841.041736625673</v>
      </c>
      <c r="K70" s="25"/>
      <c r="L70" s="24">
        <f t="shared" si="8"/>
        <v>9473.0417366256734</v>
      </c>
    </row>
    <row r="71" spans="1:12" x14ac:dyDescent="0.35">
      <c r="A71" s="4">
        <f t="shared" si="15"/>
        <v>68</v>
      </c>
      <c r="B71" s="5">
        <v>45169</v>
      </c>
      <c r="C71">
        <v>52612</v>
      </c>
      <c r="E71" s="5">
        <f t="shared" si="12"/>
        <v>45169</v>
      </c>
      <c r="F71" s="10">
        <f t="shared" si="12"/>
        <v>52612</v>
      </c>
      <c r="G71" s="25"/>
      <c r="I71" s="25">
        <f t="shared" si="13"/>
        <v>12468.772791775824</v>
      </c>
      <c r="J71" s="25">
        <f t="shared" si="14"/>
        <v>58665.217262096041</v>
      </c>
      <c r="K71" s="25"/>
      <c r="L71" s="24">
        <f t="shared" si="8"/>
        <v>6053.2172620960409</v>
      </c>
    </row>
    <row r="72" spans="1:12" x14ac:dyDescent="0.35">
      <c r="A72" s="4">
        <f t="shared" si="15"/>
        <v>69</v>
      </c>
      <c r="B72" s="5">
        <v>45199</v>
      </c>
      <c r="C72">
        <v>52467</v>
      </c>
      <c r="E72" s="5">
        <f t="shared" si="12"/>
        <v>45199</v>
      </c>
      <c r="F72" s="10">
        <f t="shared" si="12"/>
        <v>52467</v>
      </c>
      <c r="G72" s="25"/>
      <c r="I72" s="25">
        <f t="shared" si="13"/>
        <v>1756.7534367195258</v>
      </c>
      <c r="J72" s="25">
        <f t="shared" si="14"/>
        <v>48800.104430632295</v>
      </c>
      <c r="K72" s="25"/>
      <c r="L72" s="24">
        <f t="shared" si="8"/>
        <v>-3666.8955693677053</v>
      </c>
    </row>
    <row r="73" spans="1:12" x14ac:dyDescent="0.35">
      <c r="A73" s="4">
        <f t="shared" si="15"/>
        <v>70</v>
      </c>
      <c r="B73" s="5">
        <v>45230</v>
      </c>
      <c r="C73">
        <v>42235</v>
      </c>
      <c r="E73" s="5">
        <f t="shared" si="12"/>
        <v>45230</v>
      </c>
      <c r="F73" s="10">
        <f t="shared" si="12"/>
        <v>42235</v>
      </c>
      <c r="G73" s="25"/>
      <c r="I73" s="25">
        <f t="shared" si="13"/>
        <v>9040.4068981517557</v>
      </c>
      <c r="J73" s="25">
        <f t="shared" si="14"/>
        <v>56930.664415657076</v>
      </c>
      <c r="K73" s="25"/>
      <c r="L73" s="24">
        <f t="shared" si="8"/>
        <v>14695.664415657076</v>
      </c>
    </row>
    <row r="74" spans="1:12" x14ac:dyDescent="0.35">
      <c r="A74" s="4">
        <f t="shared" si="15"/>
        <v>71</v>
      </c>
      <c r="B74" s="5">
        <v>45260</v>
      </c>
      <c r="C74">
        <v>59404</v>
      </c>
      <c r="E74" s="5">
        <f t="shared" si="12"/>
        <v>45260</v>
      </c>
      <c r="F74" s="10">
        <f t="shared" si="12"/>
        <v>59404</v>
      </c>
      <c r="G74" s="25"/>
      <c r="I74" s="25">
        <f t="shared" si="13"/>
        <v>-5494.7422331611178</v>
      </c>
      <c r="J74" s="25">
        <f t="shared" si="14"/>
        <v>43242.421807936757</v>
      </c>
      <c r="K74" s="25"/>
      <c r="L74" s="24">
        <f t="shared" si="8"/>
        <v>-16161.578192063243</v>
      </c>
    </row>
    <row r="75" spans="1:12" x14ac:dyDescent="0.35">
      <c r="A75" s="4">
        <f t="shared" si="15"/>
        <v>72</v>
      </c>
      <c r="B75" s="5">
        <v>45291</v>
      </c>
      <c r="C75">
        <v>52434</v>
      </c>
      <c r="E75" s="5">
        <f t="shared" si="12"/>
        <v>45291</v>
      </c>
      <c r="F75" s="10">
        <f t="shared" si="12"/>
        <v>52434</v>
      </c>
      <c r="G75" s="25"/>
      <c r="I75" s="25">
        <f t="shared" si="13"/>
        <v>5116.6759523724186</v>
      </c>
      <c r="J75" s="25">
        <f t="shared" si="14"/>
        <v>54700.746517062842</v>
      </c>
      <c r="K75" s="25"/>
      <c r="L75" s="24">
        <f t="shared" si="8"/>
        <v>2266.746517062842</v>
      </c>
    </row>
    <row r="76" spans="1:12" x14ac:dyDescent="0.35">
      <c r="A76" s="4">
        <f t="shared" si="15"/>
        <v>73</v>
      </c>
      <c r="B76" s="5">
        <v>45322</v>
      </c>
      <c r="C76">
        <v>52855</v>
      </c>
      <c r="E76" s="5">
        <f t="shared" si="12"/>
        <v>45322</v>
      </c>
      <c r="F76" s="10">
        <f t="shared" si="12"/>
        <v>52855</v>
      </c>
      <c r="G76" s="25"/>
      <c r="I76" s="25">
        <f t="shared" si="13"/>
        <v>-2303.1306802118461</v>
      </c>
      <c r="J76" s="25">
        <f t="shared" si="14"/>
        <v>48127.846408071127</v>
      </c>
      <c r="K76" s="25"/>
      <c r="L76" s="24">
        <f t="shared" si="8"/>
        <v>-4727.1535919288726</v>
      </c>
    </row>
    <row r="77" spans="1:12" x14ac:dyDescent="0.35">
      <c r="A77" s="4">
        <f t="shared" si="15"/>
        <v>74</v>
      </c>
      <c r="B77" s="5">
        <v>45351</v>
      </c>
      <c r="C77">
        <v>45697</v>
      </c>
      <c r="E77" s="5">
        <f t="shared" si="12"/>
        <v>45351</v>
      </c>
      <c r="F77" s="10">
        <f t="shared" si="12"/>
        <v>45697</v>
      </c>
      <c r="G77" s="25"/>
      <c r="I77" s="25">
        <f t="shared" si="13"/>
        <v>-11823.956281168417</v>
      </c>
      <c r="J77" s="25">
        <f t="shared" si="14"/>
        <v>39453.927330707113</v>
      </c>
      <c r="K77" s="25"/>
      <c r="L77" s="24">
        <f t="shared" si="8"/>
        <v>-6243.0726692928874</v>
      </c>
    </row>
    <row r="78" spans="1:12" x14ac:dyDescent="0.35">
      <c r="A78" s="4">
        <f t="shared" si="15"/>
        <v>75</v>
      </c>
      <c r="B78" s="5">
        <v>45382</v>
      </c>
      <c r="C78">
        <v>42815</v>
      </c>
      <c r="E78" s="5">
        <f t="shared" si="12"/>
        <v>45382</v>
      </c>
      <c r="F78" s="10">
        <f t="shared" si="12"/>
        <v>42815</v>
      </c>
      <c r="G78" s="25"/>
      <c r="I78" s="25">
        <f t="shared" si="13"/>
        <v>-196.49682425727457</v>
      </c>
      <c r="J78" s="25">
        <f t="shared" si="14"/>
        <v>51928.293311210808</v>
      </c>
      <c r="K78" s="25"/>
      <c r="L78" s="24">
        <f t="shared" si="8"/>
        <v>9113.2933112108076</v>
      </c>
    </row>
    <row r="79" spans="1:12" x14ac:dyDescent="0.35">
      <c r="A79" s="4">
        <f t="shared" si="15"/>
        <v>76</v>
      </c>
      <c r="B79" s="5">
        <v>45412</v>
      </c>
      <c r="C79">
        <v>35800</v>
      </c>
      <c r="E79" s="5">
        <f t="shared" si="12"/>
        <v>45412</v>
      </c>
      <c r="F79" s="9">
        <f t="shared" si="12"/>
        <v>35800</v>
      </c>
      <c r="G79" s="26"/>
      <c r="H79" s="27"/>
      <c r="I79" s="25">
        <f t="shared" si="13"/>
        <v>-8831.7952407796129</v>
      </c>
      <c r="J79" s="25">
        <f t="shared" si="14"/>
        <v>44139.901418281021</v>
      </c>
      <c r="K79" s="25"/>
      <c r="L79" s="24">
        <f t="shared" si="8"/>
        <v>8339.9014182810206</v>
      </c>
    </row>
    <row r="80" spans="1:12" x14ac:dyDescent="0.35">
      <c r="A80" s="4">
        <f t="shared" si="15"/>
        <v>77</v>
      </c>
      <c r="B80" s="5">
        <v>45443</v>
      </c>
      <c r="E80" s="5">
        <f t="shared" si="12"/>
        <v>45443</v>
      </c>
      <c r="I80" s="25">
        <f t="shared" si="13"/>
        <v>9496.9200728847736</v>
      </c>
      <c r="J80" s="25">
        <f t="shared" ref="J80" si="16">$G$67+$H$67*(ROW(G80)-ROW($G$67))+I80</f>
        <v>63315.523255537955</v>
      </c>
      <c r="K80" s="25"/>
    </row>
    <row r="81" spans="1:15" x14ac:dyDescent="0.35">
      <c r="A81" s="4">
        <f t="shared" si="15"/>
        <v>78</v>
      </c>
      <c r="B81" s="5">
        <v>45473</v>
      </c>
      <c r="E81" s="5">
        <f t="shared" ref="E81:E87" si="17">B81</f>
        <v>45473</v>
      </c>
      <c r="I81" s="25">
        <f t="shared" si="13"/>
        <v>-9799.7723617209376</v>
      </c>
      <c r="J81" s="25">
        <f t="shared" ref="J81:J87" si="18">$G$67+$H$67*(ROW(G81)-ROW($G$67))+I81</f>
        <v>44865.737344524794</v>
      </c>
      <c r="K81" s="25"/>
    </row>
    <row r="82" spans="1:15" x14ac:dyDescent="0.35">
      <c r="A82" s="4"/>
      <c r="B82" s="5">
        <v>45504</v>
      </c>
      <c r="E82" s="5">
        <f t="shared" si="17"/>
        <v>45504</v>
      </c>
      <c r="I82" s="25">
        <f t="shared" si="13"/>
        <v>-2508.4962101019928</v>
      </c>
      <c r="J82" s="25">
        <f t="shared" si="18"/>
        <v>53003.920019736295</v>
      </c>
      <c r="K82" s="25"/>
    </row>
    <row r="83" spans="1:15" x14ac:dyDescent="0.35">
      <c r="A83" s="4"/>
      <c r="B83" s="5">
        <v>45535</v>
      </c>
      <c r="E83" s="5">
        <f t="shared" si="17"/>
        <v>45535</v>
      </c>
      <c r="I83" s="25">
        <f t="shared" si="13"/>
        <v>12468.772791775824</v>
      </c>
      <c r="J83" s="25">
        <f t="shared" si="18"/>
        <v>68828.095545206656</v>
      </c>
      <c r="K83" s="25">
        <f>J83*one_third!K14</f>
        <v>19396.818280199153</v>
      </c>
    </row>
    <row r="84" spans="1:15" x14ac:dyDescent="0.35">
      <c r="A84" s="4"/>
      <c r="B84" s="5">
        <v>45565</v>
      </c>
      <c r="E84" s="5">
        <f t="shared" si="17"/>
        <v>45565</v>
      </c>
      <c r="I84" s="25">
        <f t="shared" si="13"/>
        <v>1756.7534367195258</v>
      </c>
      <c r="J84" s="25">
        <f t="shared" si="18"/>
        <v>58962.982713742917</v>
      </c>
      <c r="K84" s="25">
        <f>J84</f>
        <v>58962.982713742917</v>
      </c>
      <c r="M84" s="25">
        <f>SUM(J83:J87)</f>
        <v>313153.54584893811</v>
      </c>
      <c r="N84" s="11">
        <f>SUM(F75:F79)</f>
        <v>229601</v>
      </c>
      <c r="O84" s="31">
        <f>M84/N84-1</f>
        <v>0.36390323147084769</v>
      </c>
    </row>
    <row r="85" spans="1:15" x14ac:dyDescent="0.35">
      <c r="A85" s="4"/>
      <c r="B85" s="5">
        <v>45596</v>
      </c>
      <c r="E85" s="5">
        <f t="shared" si="17"/>
        <v>45596</v>
      </c>
      <c r="I85" s="25">
        <f t="shared" si="13"/>
        <v>9040.4068981517557</v>
      </c>
      <c r="J85" s="25">
        <f t="shared" si="18"/>
        <v>67093.542698767706</v>
      </c>
      <c r="K85" s="25">
        <f>J85</f>
        <v>67093.542698767706</v>
      </c>
    </row>
    <row r="86" spans="1:15" x14ac:dyDescent="0.35">
      <c r="A86" s="4"/>
      <c r="B86" s="5">
        <v>45626</v>
      </c>
      <c r="E86" s="5">
        <f t="shared" si="17"/>
        <v>45626</v>
      </c>
      <c r="I86" s="25">
        <f t="shared" si="13"/>
        <v>-5494.7422331611178</v>
      </c>
      <c r="J86" s="25">
        <f t="shared" si="18"/>
        <v>53405.300091047378</v>
      </c>
      <c r="K86" s="25">
        <f>J86</f>
        <v>53405.300091047378</v>
      </c>
    </row>
    <row r="87" spans="1:15" x14ac:dyDescent="0.35">
      <c r="A87" s="4"/>
      <c r="B87" s="5">
        <v>45657</v>
      </c>
      <c r="E87" s="5">
        <f t="shared" si="17"/>
        <v>45657</v>
      </c>
      <c r="I87" s="25">
        <f t="shared" si="13"/>
        <v>5116.6759523724186</v>
      </c>
      <c r="J87" s="25">
        <f t="shared" si="18"/>
        <v>64863.624800173464</v>
      </c>
      <c r="K87" s="25">
        <f>J87*one_third!K12</f>
        <v>24654.091125788858</v>
      </c>
    </row>
    <row r="88" spans="1:15" x14ac:dyDescent="0.35">
      <c r="A88" s="4"/>
      <c r="B88" s="5"/>
    </row>
    <row r="89" spans="1:15" x14ac:dyDescent="0.35">
      <c r="A89" s="4"/>
      <c r="B89" s="5"/>
    </row>
    <row r="90" spans="1:15" x14ac:dyDescent="0.35">
      <c r="A90" s="4"/>
      <c r="B90" s="5"/>
    </row>
    <row r="91" spans="1:15" x14ac:dyDescent="0.35">
      <c r="A91" s="4"/>
      <c r="B91" s="5"/>
    </row>
    <row r="92" spans="1:15" x14ac:dyDescent="0.35">
      <c r="A92" s="4"/>
      <c r="B92" s="5"/>
    </row>
    <row r="93" spans="1:15" x14ac:dyDescent="0.35">
      <c r="A93" s="4"/>
      <c r="B93" s="5"/>
    </row>
    <row r="94" spans="1:15" x14ac:dyDescent="0.35">
      <c r="A94" s="4"/>
      <c r="B94" s="5"/>
    </row>
    <row r="95" spans="1:15" x14ac:dyDescent="0.35">
      <c r="F95" s="13" t="s">
        <v>10</v>
      </c>
      <c r="G95" s="13" t="s">
        <v>11</v>
      </c>
      <c r="H95" s="13" t="s">
        <v>12</v>
      </c>
      <c r="I95" s="13" t="s">
        <v>13</v>
      </c>
      <c r="J95" s="13" t="s">
        <v>18</v>
      </c>
      <c r="K95" s="13"/>
      <c r="L95" s="13" t="s">
        <v>14</v>
      </c>
      <c r="M95" s="13" t="s">
        <v>15</v>
      </c>
      <c r="N95" s="13" t="s">
        <v>16</v>
      </c>
    </row>
    <row r="96" spans="1:15" x14ac:dyDescent="0.35">
      <c r="E96" t="s">
        <v>19</v>
      </c>
      <c r="F96" s="14">
        <v>5.990494282518221E-2</v>
      </c>
      <c r="G96" s="15">
        <v>1</v>
      </c>
      <c r="H96" s="16">
        <v>6.4133541175110734E-2</v>
      </c>
      <c r="I96" cm="1">
        <f t="array" ref="I96">SUMPRODUCT(ABS($F$56:$F$67-$J$56:$J$67))/COUNT($J$56:$J$67)</f>
        <v>6287.715059933772</v>
      </c>
      <c r="J96" s="32">
        <f>(SUMXMY2($F$56:$F$67,$J$56:$J$67)/COUNT($J$56:$J$67))^0.5</f>
        <v>6816.0254502930802</v>
      </c>
      <c r="K96" s="25"/>
      <c r="L96" s="33" cm="1">
        <f t="array" ref="L96">SUMPRODUCT(ABS(1-$J$56:$J$67/$F$56:$F$67))/COUNT($J$56:$J$67)</f>
        <v>0.1666075797450077</v>
      </c>
      <c r="M96" s="34" cm="1">
        <f t="array" ref="M96">SUM($J$56:$J$67-$F$56:$F$67)</f>
        <v>456.48875448889885</v>
      </c>
      <c r="N96" s="38" cm="1">
        <f t="array" ref="N96">MIN($J$56:$J$67-$F$56:$F$67)</f>
        <v>-8653.015264257454</v>
      </c>
    </row>
    <row r="97" spans="5:14" x14ac:dyDescent="0.35">
      <c r="E97" t="s">
        <v>20</v>
      </c>
      <c r="I97" cm="1">
        <f t="array" ref="I97">SUMPRODUCT(ABS($F$68:$F$79-$J$68:$J$79))/COUNT($J$68:$J$79)</f>
        <v>7495.9458828832767</v>
      </c>
      <c r="J97">
        <f>(SUMXMY2($F$68:$F$79,$J$68:$J$79)/COUNT($J$68:$J$79))^0.5</f>
        <v>8654.2663861546516</v>
      </c>
      <c r="L97" s="33" cm="1">
        <f t="array" ref="L97">SUMPRODUCT(ABS(1-$J$68:$J$79/$F$68:$F$79))/COUNT($J$68:$J$79)</f>
        <v>0.16789477815763773</v>
      </c>
      <c r="M97" s="34" cm="1">
        <f t="array" ref="M97">SUM($J$68:$J$79-$F$68:$F$79)</f>
        <v>12773.668672122258</v>
      </c>
      <c r="N97" s="34" cm="1">
        <f t="array" ref="N97">MIN($J$68:$J$79-$F$68:$F$79)</f>
        <v>-16161.578192063243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8156A-F450-42CA-9141-51CE6335E57D}">
  <sheetPr>
    <tabColor rgb="FF92D050"/>
  </sheetPr>
  <dimension ref="A1:M99"/>
  <sheetViews>
    <sheetView topLeftCell="D1" zoomScale="98" zoomScaleNormal="98" workbookViewId="0">
      <selection activeCell="F79" sqref="F79"/>
    </sheetView>
  </sheetViews>
  <sheetFormatPr defaultRowHeight="14.5" x14ac:dyDescent="0.35"/>
  <cols>
    <col min="2" max="2" width="10.6328125" bestFit="1" customWidth="1"/>
    <col min="5" max="5" width="14.08984375" customWidth="1"/>
    <col min="7" max="8" width="8.7265625" customWidth="1"/>
    <col min="9" max="9" width="8.81640625" customWidth="1"/>
    <col min="10" max="10" width="12.26953125" bestFit="1" customWidth="1"/>
    <col min="11" max="11" width="10.36328125" bestFit="1" customWidth="1"/>
    <col min="12" max="12" width="10.1796875" bestFit="1" customWidth="1"/>
  </cols>
  <sheetData>
    <row r="1" spans="1:10" x14ac:dyDescent="0.35">
      <c r="A1" s="1" t="s">
        <v>0</v>
      </c>
      <c r="E1" s="1" t="s">
        <v>1</v>
      </c>
    </row>
    <row r="2" spans="1:10" ht="15" thickBot="1" x14ac:dyDescent="0.4"/>
    <row r="3" spans="1:10" ht="15" thickTop="1" x14ac:dyDescent="0.35">
      <c r="A3" s="2" t="s">
        <v>2</v>
      </c>
      <c r="B3" s="2" t="s">
        <v>3</v>
      </c>
      <c r="C3" s="2" t="s">
        <v>4</v>
      </c>
      <c r="E3" s="3" t="str">
        <f>B3</f>
        <v>qtr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</row>
    <row r="4" spans="1:10" x14ac:dyDescent="0.35">
      <c r="A4" s="4">
        <v>1</v>
      </c>
      <c r="B4" s="5">
        <v>43131</v>
      </c>
      <c r="C4" s="6">
        <v>34890</v>
      </c>
      <c r="E4" s="5">
        <f>B4</f>
        <v>43131</v>
      </c>
      <c r="F4">
        <f>C4</f>
        <v>34890</v>
      </c>
      <c r="I4" s="7">
        <f>F4/AVERAGE($F$4:$F$15)</f>
        <v>0.83059398142729324</v>
      </c>
    </row>
    <row r="5" spans="1:10" x14ac:dyDescent="0.35">
      <c r="A5" s="4">
        <f>A4+1</f>
        <v>2</v>
      </c>
      <c r="B5" s="5">
        <v>43159</v>
      </c>
      <c r="C5" s="6">
        <v>25830</v>
      </c>
      <c r="E5" s="5">
        <f t="shared" ref="E5:F20" si="0">B5</f>
        <v>43159</v>
      </c>
      <c r="F5">
        <f t="shared" si="0"/>
        <v>25830</v>
      </c>
      <c r="I5" s="7">
        <f t="shared" ref="I5:I15" si="1">F5/AVERAGE($F$4:$F$15)</f>
        <v>0.61491093551926013</v>
      </c>
    </row>
    <row r="6" spans="1:10" x14ac:dyDescent="0.35">
      <c r="A6" s="4">
        <f t="shared" ref="A6:A69" si="2">A5+1</f>
        <v>3</v>
      </c>
      <c r="B6" s="5">
        <v>43190</v>
      </c>
      <c r="C6" s="6">
        <v>41054</v>
      </c>
      <c r="E6" s="5">
        <f t="shared" si="0"/>
        <v>43190</v>
      </c>
      <c r="F6">
        <f t="shared" si="0"/>
        <v>41054</v>
      </c>
      <c r="I6" s="7">
        <f t="shared" si="1"/>
        <v>0.9773346320870191</v>
      </c>
    </row>
    <row r="7" spans="1:10" x14ac:dyDescent="0.35">
      <c r="A7" s="4">
        <f t="shared" si="2"/>
        <v>4</v>
      </c>
      <c r="B7" s="5">
        <v>43220</v>
      </c>
      <c r="C7" s="6">
        <v>36838</v>
      </c>
      <c r="E7" s="5">
        <f t="shared" si="0"/>
        <v>43220</v>
      </c>
      <c r="F7">
        <f t="shared" si="0"/>
        <v>36838</v>
      </c>
      <c r="I7" s="7">
        <f t="shared" si="1"/>
        <v>0.87696821690509108</v>
      </c>
    </row>
    <row r="8" spans="1:10" x14ac:dyDescent="0.35">
      <c r="A8" s="4">
        <f t="shared" si="2"/>
        <v>5</v>
      </c>
      <c r="B8" s="5">
        <v>43251</v>
      </c>
      <c r="C8" s="6">
        <v>56808</v>
      </c>
      <c r="E8" s="5">
        <f t="shared" si="0"/>
        <v>43251</v>
      </c>
      <c r="F8">
        <f t="shared" si="0"/>
        <v>56808</v>
      </c>
      <c r="I8" s="7">
        <f t="shared" si="1"/>
        <v>1.3523755487796409</v>
      </c>
    </row>
    <row r="9" spans="1:10" x14ac:dyDescent="0.35">
      <c r="A9" s="4">
        <f t="shared" si="2"/>
        <v>6</v>
      </c>
      <c r="B9" s="5">
        <v>43281</v>
      </c>
      <c r="C9" s="6">
        <v>34939</v>
      </c>
      <c r="E9" s="5">
        <f t="shared" si="0"/>
        <v>43281</v>
      </c>
      <c r="F9">
        <f t="shared" si="0"/>
        <v>34939</v>
      </c>
      <c r="I9" s="7">
        <f t="shared" si="1"/>
        <v>0.83176047913695039</v>
      </c>
    </row>
    <row r="10" spans="1:10" x14ac:dyDescent="0.35">
      <c r="A10" s="4">
        <f t="shared" si="2"/>
        <v>7</v>
      </c>
      <c r="B10" s="5">
        <v>43312</v>
      </c>
      <c r="C10" s="6">
        <v>41853</v>
      </c>
      <c r="E10" s="5">
        <f t="shared" si="0"/>
        <v>43312</v>
      </c>
      <c r="F10">
        <f t="shared" si="0"/>
        <v>41853</v>
      </c>
      <c r="I10" s="7">
        <f t="shared" si="1"/>
        <v>0.99635568657714257</v>
      </c>
    </row>
    <row r="11" spans="1:10" x14ac:dyDescent="0.35">
      <c r="A11" s="4">
        <f t="shared" si="2"/>
        <v>8</v>
      </c>
      <c r="B11" s="5">
        <v>43343</v>
      </c>
      <c r="C11" s="6">
        <v>58036</v>
      </c>
      <c r="E11" s="5">
        <f t="shared" si="0"/>
        <v>43343</v>
      </c>
      <c r="F11">
        <f t="shared" si="0"/>
        <v>58036</v>
      </c>
      <c r="I11" s="7">
        <f t="shared" si="1"/>
        <v>1.3816094097481912</v>
      </c>
    </row>
    <row r="12" spans="1:10" x14ac:dyDescent="0.35">
      <c r="A12" s="4">
        <f t="shared" si="2"/>
        <v>9</v>
      </c>
      <c r="B12" s="5">
        <v>43373</v>
      </c>
      <c r="C12" s="6">
        <v>42879</v>
      </c>
      <c r="E12" s="5">
        <f t="shared" si="0"/>
        <v>43373</v>
      </c>
      <c r="F12">
        <f t="shared" si="0"/>
        <v>42879</v>
      </c>
      <c r="I12" s="7">
        <f t="shared" si="1"/>
        <v>1.0207807202528205</v>
      </c>
    </row>
    <row r="13" spans="1:10" x14ac:dyDescent="0.35">
      <c r="A13" s="4">
        <f t="shared" si="2"/>
        <v>10</v>
      </c>
      <c r="B13" s="5">
        <v>43404</v>
      </c>
      <c r="C13" s="6">
        <v>54081</v>
      </c>
      <c r="E13" s="5">
        <f t="shared" si="0"/>
        <v>43404</v>
      </c>
      <c r="F13">
        <f t="shared" si="0"/>
        <v>54081</v>
      </c>
      <c r="I13" s="7">
        <f t="shared" si="1"/>
        <v>1.2874563803258654</v>
      </c>
    </row>
    <row r="14" spans="1:10" x14ac:dyDescent="0.35">
      <c r="A14" s="4">
        <f t="shared" si="2"/>
        <v>11</v>
      </c>
      <c r="B14" s="5">
        <v>43434</v>
      </c>
      <c r="C14" s="6">
        <v>31764</v>
      </c>
      <c r="E14" s="5">
        <f t="shared" si="0"/>
        <v>43434</v>
      </c>
      <c r="F14">
        <f t="shared" si="0"/>
        <v>31764</v>
      </c>
      <c r="I14" s="7">
        <f t="shared" si="1"/>
        <v>0.75617618876630954</v>
      </c>
    </row>
    <row r="15" spans="1:10" x14ac:dyDescent="0.35">
      <c r="A15" s="4">
        <f t="shared" si="2"/>
        <v>12</v>
      </c>
      <c r="B15" s="5">
        <v>43465</v>
      </c>
      <c r="C15" s="6">
        <v>45101</v>
      </c>
      <c r="E15" s="5">
        <f t="shared" si="0"/>
        <v>43465</v>
      </c>
      <c r="F15">
        <f t="shared" si="0"/>
        <v>45101</v>
      </c>
      <c r="G15" s="7">
        <f>F15/I15</f>
        <v>42006.083333333336</v>
      </c>
      <c r="H15" s="7">
        <f>(AVERAGE(F16:F27)-AVERAGE(F4:F15))/12</f>
        <v>3906.0208333333326</v>
      </c>
      <c r="I15" s="7">
        <f t="shared" si="1"/>
        <v>1.0736778204744153</v>
      </c>
    </row>
    <row r="16" spans="1:10" x14ac:dyDescent="0.35">
      <c r="A16" s="4">
        <f t="shared" si="2"/>
        <v>13</v>
      </c>
      <c r="B16" s="5">
        <v>43496</v>
      </c>
      <c r="C16" s="6">
        <v>61974</v>
      </c>
      <c r="E16" s="5">
        <f t="shared" si="0"/>
        <v>43496</v>
      </c>
      <c r="F16">
        <f t="shared" si="0"/>
        <v>61974</v>
      </c>
      <c r="G16">
        <f>$F$93*F16/I4+(1-$F$93)*(G15+H15)</f>
        <v>55805.128385114243</v>
      </c>
      <c r="H16">
        <f>$G$93*(G16-G15)+(1-$G$93)*H15</f>
        <v>4357.1429991613913</v>
      </c>
      <c r="I16">
        <f>$H$93*(F16/G16)+(1-$H$93)*I4</f>
        <v>0.90918210424383328</v>
      </c>
      <c r="J16" s="8">
        <f>(G15+H15)*I4</f>
        <v>38134.317395496291</v>
      </c>
    </row>
    <row r="17" spans="1:10" x14ac:dyDescent="0.35">
      <c r="A17" s="4">
        <f t="shared" si="2"/>
        <v>14</v>
      </c>
      <c r="B17" s="5">
        <v>43524</v>
      </c>
      <c r="C17" s="6">
        <v>37927</v>
      </c>
      <c r="E17" s="5">
        <f t="shared" si="0"/>
        <v>43524</v>
      </c>
      <c r="F17">
        <f t="shared" si="0"/>
        <v>37927</v>
      </c>
      <c r="G17">
        <f t="shared" ref="G17:G67" si="3">$F$93*F17/I5+(1-$F$93)*(G16+H16)</f>
        <v>60685.007626231643</v>
      </c>
      <c r="H17">
        <f>$G$93*(G17-G16)+(1-$G$93)*H16</f>
        <v>4380.9797856101986</v>
      </c>
      <c r="I17">
        <f t="shared" ref="I17:I67" si="4">$H$93*(F17/G17)+(1-$H$93)*I5</f>
        <v>0.61773794061776377</v>
      </c>
      <c r="J17" s="8">
        <f t="shared" ref="J17:J67" si="5">(G16+H16)*I5</f>
        <v>36994.438579868547</v>
      </c>
    </row>
    <row r="18" spans="1:10" x14ac:dyDescent="0.35">
      <c r="A18" s="4">
        <f t="shared" si="2"/>
        <v>15</v>
      </c>
      <c r="B18" s="5">
        <v>43555</v>
      </c>
      <c r="C18" s="6">
        <v>59679</v>
      </c>
      <c r="E18" s="5">
        <f t="shared" si="0"/>
        <v>43555</v>
      </c>
      <c r="F18">
        <f t="shared" si="0"/>
        <v>59679</v>
      </c>
      <c r="G18">
        <f t="shared" si="3"/>
        <v>63686.23900185465</v>
      </c>
      <c r="H18">
        <f>$G$93*(G18-G17)+(1-$G$93)*H17</f>
        <v>4318.0632216488375</v>
      </c>
      <c r="I18">
        <f t="shared" si="4"/>
        <v>0.96603379112720056</v>
      </c>
      <c r="J18" s="8">
        <f t="shared" si="5"/>
        <v>63591.242868531066</v>
      </c>
    </row>
    <row r="19" spans="1:10" x14ac:dyDescent="0.35">
      <c r="A19" s="4">
        <f t="shared" si="2"/>
        <v>16</v>
      </c>
      <c r="B19" s="5">
        <v>43585</v>
      </c>
      <c r="C19" s="6">
        <v>56163</v>
      </c>
      <c r="E19" s="5">
        <f t="shared" si="0"/>
        <v>43585</v>
      </c>
      <c r="F19">
        <f t="shared" si="0"/>
        <v>56163</v>
      </c>
      <c r="G19">
        <f t="shared" si="3"/>
        <v>66638.65098726876</v>
      </c>
      <c r="H19">
        <f>$G$93*(G19-G18)+(1-$G$93)*H18</f>
        <v>4255.7894891831702</v>
      </c>
      <c r="I19">
        <f t="shared" si="4"/>
        <v>0.86737618457082455</v>
      </c>
      <c r="J19" s="8">
        <f t="shared" si="5"/>
        <v>59637.611662820775</v>
      </c>
    </row>
    <row r="20" spans="1:10" x14ac:dyDescent="0.35">
      <c r="A20" s="4">
        <f t="shared" si="2"/>
        <v>17</v>
      </c>
      <c r="B20" s="5">
        <v>43616</v>
      </c>
      <c r="C20" s="6">
        <v>118501</v>
      </c>
      <c r="E20" s="5">
        <f t="shared" si="0"/>
        <v>43616</v>
      </c>
      <c r="F20">
        <f t="shared" si="0"/>
        <v>118501</v>
      </c>
      <c r="G20">
        <f t="shared" si="3"/>
        <v>76660.915693299146</v>
      </c>
      <c r="H20">
        <f t="shared" ref="H20:H67" si="6">$G$93*(G20-G19)+(1-$G$93)*H19</f>
        <v>4518.7409114759739</v>
      </c>
      <c r="I20">
        <f t="shared" si="4"/>
        <v>1.4066689328923982</v>
      </c>
      <c r="J20" s="8">
        <f t="shared" si="5"/>
        <v>95875.907844767265</v>
      </c>
    </row>
    <row r="21" spans="1:10" x14ac:dyDescent="0.35">
      <c r="A21" s="4">
        <f t="shared" si="2"/>
        <v>18</v>
      </c>
      <c r="B21" s="5">
        <v>43646</v>
      </c>
      <c r="C21" s="6">
        <v>78698</v>
      </c>
      <c r="E21" s="5">
        <f t="shared" ref="E21:F82" si="7">B21</f>
        <v>43646</v>
      </c>
      <c r="F21">
        <f t="shared" si="7"/>
        <v>78698</v>
      </c>
      <c r="G21">
        <f t="shared" si="3"/>
        <v>85810.971665947858</v>
      </c>
      <c r="H21">
        <f t="shared" si="6"/>
        <v>4729.9290006684014</v>
      </c>
      <c r="I21">
        <f t="shared" si="4"/>
        <v>0.85571971498203159</v>
      </c>
      <c r="J21" s="8">
        <f t="shared" si="5"/>
        <v>67522.030073760863</v>
      </c>
    </row>
    <row r="22" spans="1:10" x14ac:dyDescent="0.35">
      <c r="A22" s="4">
        <f t="shared" si="2"/>
        <v>19</v>
      </c>
      <c r="B22" s="5">
        <v>43677</v>
      </c>
      <c r="C22" s="6">
        <v>109530</v>
      </c>
      <c r="E22" s="5">
        <f t="shared" si="7"/>
        <v>43677</v>
      </c>
      <c r="F22">
        <f t="shared" si="7"/>
        <v>109530</v>
      </c>
      <c r="G22">
        <f t="shared" si="3"/>
        <v>97224.169678567472</v>
      </c>
      <c r="H22">
        <f t="shared" si="6"/>
        <v>5034.6862442482716</v>
      </c>
      <c r="I22">
        <f t="shared" si="4"/>
        <v>1.0329103069643657</v>
      </c>
      <c r="J22" s="8">
        <f t="shared" si="5"/>
        <v>90210.941246999311</v>
      </c>
    </row>
    <row r="23" spans="1:10" x14ac:dyDescent="0.35">
      <c r="A23" s="4">
        <f t="shared" si="2"/>
        <v>20</v>
      </c>
      <c r="B23" s="5">
        <v>43708</v>
      </c>
      <c r="C23" s="6">
        <v>116775</v>
      </c>
      <c r="E23" s="5">
        <f t="shared" si="7"/>
        <v>43708</v>
      </c>
      <c r="F23">
        <f t="shared" si="7"/>
        <v>116775</v>
      </c>
      <c r="G23">
        <f t="shared" si="3"/>
        <v>96144.951233564207</v>
      </c>
      <c r="H23">
        <f t="shared" si="6"/>
        <v>4755.892028831473</v>
      </c>
      <c r="I23">
        <f t="shared" si="4"/>
        <v>1.3347182863195526</v>
      </c>
      <c r="J23" s="8">
        <f t="shared" si="5"/>
        <v>141281.79757304679</v>
      </c>
    </row>
    <row r="24" spans="1:10" x14ac:dyDescent="0.35">
      <c r="A24" s="4">
        <f t="shared" si="2"/>
        <v>21</v>
      </c>
      <c r="B24" s="5">
        <v>43738</v>
      </c>
      <c r="C24" s="6">
        <v>115435</v>
      </c>
      <c r="E24" s="5">
        <f t="shared" si="7"/>
        <v>43738</v>
      </c>
      <c r="F24">
        <f t="shared" si="7"/>
        <v>115435</v>
      </c>
      <c r="G24">
        <f t="shared" si="3"/>
        <v>105100.49510254301</v>
      </c>
      <c r="H24">
        <f t="shared" si="6"/>
        <v>4947.3962637365348</v>
      </c>
      <c r="I24">
        <f t="shared" si="4"/>
        <v>1.0425505062394422</v>
      </c>
      <c r="J24" s="8">
        <f t="shared" si="5"/>
        <v>102997.63545950521</v>
      </c>
    </row>
    <row r="25" spans="1:10" x14ac:dyDescent="0.35">
      <c r="A25" s="4">
        <f t="shared" si="2"/>
        <v>22</v>
      </c>
      <c r="B25" s="5">
        <v>43769</v>
      </c>
      <c r="C25" s="6">
        <v>100006</v>
      </c>
      <c r="E25" s="5">
        <f t="shared" si="7"/>
        <v>43769</v>
      </c>
      <c r="F25">
        <f t="shared" si="7"/>
        <v>100006</v>
      </c>
      <c r="G25">
        <f t="shared" si="3"/>
        <v>98890.326292573198</v>
      </c>
      <c r="H25">
        <f t="shared" si="6"/>
        <v>4438.6110014875994</v>
      </c>
      <c r="I25">
        <f t="shared" si="4"/>
        <v>1.2099278918079044</v>
      </c>
      <c r="J25" s="8">
        <f t="shared" si="5"/>
        <v>141681.85988092431</v>
      </c>
    </row>
    <row r="26" spans="1:10" x14ac:dyDescent="0.35">
      <c r="A26" s="4">
        <f t="shared" si="2"/>
        <v>23</v>
      </c>
      <c r="B26" s="5">
        <v>43799</v>
      </c>
      <c r="C26" s="6">
        <v>105375</v>
      </c>
      <c r="E26" s="5">
        <f t="shared" si="7"/>
        <v>43799</v>
      </c>
      <c r="F26">
        <f t="shared" si="7"/>
        <v>105375</v>
      </c>
      <c r="G26">
        <f t="shared" si="3"/>
        <v>115745.55671870014</v>
      </c>
      <c r="H26">
        <f t="shared" si="6"/>
        <v>5004.8091754151501</v>
      </c>
      <c r="I26">
        <f t="shared" si="4"/>
        <v>0.79947093658020019</v>
      </c>
      <c r="J26" s="8">
        <f t="shared" si="5"/>
        <v>78134.881992295879</v>
      </c>
    </row>
    <row r="27" spans="1:10" x14ac:dyDescent="0.35">
      <c r="A27" s="4">
        <f t="shared" si="2"/>
        <v>24</v>
      </c>
      <c r="B27" s="5">
        <v>43830</v>
      </c>
      <c r="C27" s="6">
        <v>106477</v>
      </c>
      <c r="E27" s="5">
        <f t="shared" si="7"/>
        <v>43830</v>
      </c>
      <c r="F27">
        <f t="shared" si="7"/>
        <v>106477</v>
      </c>
      <c r="G27">
        <f t="shared" si="3"/>
        <v>113312.14208777758</v>
      </c>
      <c r="H27">
        <f t="shared" si="6"/>
        <v>4665.6259732582412</v>
      </c>
      <c r="I27">
        <f t="shared" si="4"/>
        <v>1.0360611850176717</v>
      </c>
      <c r="J27" s="8">
        <f t="shared" si="5"/>
        <v>129646.98967468188</v>
      </c>
    </row>
    <row r="28" spans="1:10" x14ac:dyDescent="0.35">
      <c r="A28" s="4">
        <f t="shared" si="2"/>
        <v>25</v>
      </c>
      <c r="B28" s="5">
        <v>43861</v>
      </c>
      <c r="C28" s="6">
        <v>82087</v>
      </c>
      <c r="E28" s="5">
        <f t="shared" si="7"/>
        <v>43861</v>
      </c>
      <c r="F28">
        <f t="shared" si="7"/>
        <v>82087</v>
      </c>
      <c r="G28">
        <f t="shared" si="3"/>
        <v>108433.16250538858</v>
      </c>
      <c r="H28">
        <f t="shared" si="6"/>
        <v>4230.3917076623784</v>
      </c>
      <c r="I28">
        <f t="shared" si="4"/>
        <v>0.86646912011096333</v>
      </c>
      <c r="J28" s="8">
        <f t="shared" si="5"/>
        <v>107263.27541972346</v>
      </c>
    </row>
    <row r="29" spans="1:10" x14ac:dyDescent="0.35">
      <c r="A29" s="4">
        <f t="shared" si="2"/>
        <v>26</v>
      </c>
      <c r="B29" s="5">
        <v>43890</v>
      </c>
      <c r="C29" s="6">
        <v>90055</v>
      </c>
      <c r="E29" s="5">
        <f t="shared" si="7"/>
        <v>43890</v>
      </c>
      <c r="F29">
        <f t="shared" si="7"/>
        <v>90055</v>
      </c>
      <c r="G29">
        <f t="shared" si="3"/>
        <v>124078.81381500431</v>
      </c>
      <c r="H29">
        <f t="shared" si="6"/>
        <v>4750.9278472100923</v>
      </c>
      <c r="I29">
        <f t="shared" si="4"/>
        <v>0.64807025929726647</v>
      </c>
      <c r="J29" s="8">
        <f t="shared" si="5"/>
        <v>69596.551962247875</v>
      </c>
    </row>
    <row r="30" spans="1:10" x14ac:dyDescent="0.35">
      <c r="A30" s="4">
        <f t="shared" si="2"/>
        <v>27</v>
      </c>
      <c r="B30" s="5">
        <v>43921</v>
      </c>
      <c r="C30" s="6">
        <v>77921</v>
      </c>
      <c r="E30" s="5">
        <f t="shared" si="7"/>
        <v>43921</v>
      </c>
      <c r="F30">
        <f t="shared" si="7"/>
        <v>77921</v>
      </c>
      <c r="G30">
        <f t="shared" si="3"/>
        <v>112226.80035372017</v>
      </c>
      <c r="H30">
        <f t="shared" si="6"/>
        <v>3993.8332847367169</v>
      </c>
      <c r="I30">
        <f t="shared" si="4"/>
        <v>0.88975673132998689</v>
      </c>
      <c r="J30" s="8">
        <f t="shared" si="5"/>
        <v>124453.88374788682</v>
      </c>
    </row>
    <row r="31" spans="1:10" x14ac:dyDescent="0.35">
      <c r="A31" s="4">
        <f t="shared" si="2"/>
        <v>28</v>
      </c>
      <c r="B31" s="5">
        <v>43951</v>
      </c>
      <c r="C31" s="9">
        <v>31224</v>
      </c>
      <c r="E31" s="5">
        <f t="shared" si="7"/>
        <v>43951</v>
      </c>
      <c r="F31">
        <f t="shared" si="7"/>
        <v>31224</v>
      </c>
      <c r="G31">
        <f t="shared" si="3"/>
        <v>88569.489923314817</v>
      </c>
      <c r="H31">
        <f t="shared" si="6"/>
        <v>2732.9404005226661</v>
      </c>
      <c r="I31">
        <f t="shared" si="4"/>
        <v>0.72284897284093785</v>
      </c>
      <c r="J31" s="8">
        <f t="shared" si="5"/>
        <v>100807.00977372836</v>
      </c>
    </row>
    <row r="32" spans="1:10" x14ac:dyDescent="0.35">
      <c r="A32" s="4">
        <f t="shared" si="2"/>
        <v>29</v>
      </c>
      <c r="B32" s="5">
        <v>43982</v>
      </c>
      <c r="C32" s="10">
        <v>23641</v>
      </c>
      <c r="E32" s="5">
        <f t="shared" si="7"/>
        <v>43982</v>
      </c>
      <c r="F32">
        <f t="shared" si="7"/>
        <v>23641</v>
      </c>
      <c r="G32">
        <f t="shared" si="3"/>
        <v>65625.051815609448</v>
      </c>
      <c r="H32">
        <f t="shared" si="6"/>
        <v>1562.0512619093565</v>
      </c>
      <c r="I32">
        <f t="shared" si="4"/>
        <v>1.1129133735899976</v>
      </c>
      <c r="J32" s="8">
        <f t="shared" si="5"/>
        <v>128432.29223411501</v>
      </c>
    </row>
    <row r="33" spans="1:10" x14ac:dyDescent="0.35">
      <c r="A33" s="4">
        <f t="shared" si="2"/>
        <v>30</v>
      </c>
      <c r="B33" s="5">
        <v>44012</v>
      </c>
      <c r="C33">
        <v>36735</v>
      </c>
      <c r="E33" s="5">
        <f t="shared" si="7"/>
        <v>44012</v>
      </c>
      <c r="F33">
        <f t="shared" si="7"/>
        <v>36735</v>
      </c>
      <c r="G33">
        <f t="shared" si="3"/>
        <v>58825.71790986992</v>
      </c>
      <c r="H33">
        <f t="shared" si="6"/>
        <v>1180.7718772780429</v>
      </c>
      <c r="I33">
        <f t="shared" si="4"/>
        <v>0.790803123860227</v>
      </c>
      <c r="J33" s="8">
        <f t="shared" si="5"/>
        <v>57493.328695962766</v>
      </c>
    </row>
    <row r="34" spans="1:10" x14ac:dyDescent="0.35">
      <c r="A34" s="4">
        <f t="shared" si="2"/>
        <v>31</v>
      </c>
      <c r="B34" s="5">
        <v>44043</v>
      </c>
      <c r="C34">
        <v>44506</v>
      </c>
      <c r="E34" s="5">
        <f t="shared" si="7"/>
        <v>44043</v>
      </c>
      <c r="F34">
        <f t="shared" si="7"/>
        <v>44506</v>
      </c>
      <c r="G34">
        <f t="shared" si="3"/>
        <v>54174.994171282051</v>
      </c>
      <c r="H34">
        <f t="shared" si="6"/>
        <v>914.85552307153546</v>
      </c>
      <c r="I34">
        <f t="shared" si="4"/>
        <v>0.9735690329619423</v>
      </c>
      <c r="J34" s="8">
        <f t="shared" si="5"/>
        <v>61981.321785897075</v>
      </c>
    </row>
    <row r="35" spans="1:10" x14ac:dyDescent="0.35">
      <c r="A35" s="4">
        <f t="shared" si="2"/>
        <v>32</v>
      </c>
      <c r="B35" s="5">
        <v>44074</v>
      </c>
      <c r="C35">
        <v>55883</v>
      </c>
      <c r="E35" s="5">
        <f t="shared" si="7"/>
        <v>44074</v>
      </c>
      <c r="F35">
        <f t="shared" si="7"/>
        <v>55883</v>
      </c>
      <c r="G35">
        <f t="shared" si="3"/>
        <v>50532.790974200776</v>
      </c>
      <c r="H35">
        <f t="shared" si="6"/>
        <v>707.05352499216792</v>
      </c>
      <c r="I35">
        <f t="shared" si="4"/>
        <v>1.2704770153447953</v>
      </c>
      <c r="J35" s="8">
        <f t="shared" si="5"/>
        <v>73529.429777649348</v>
      </c>
    </row>
    <row r="36" spans="1:10" x14ac:dyDescent="0.35">
      <c r="A36" s="4">
        <f t="shared" si="2"/>
        <v>33</v>
      </c>
      <c r="B36" s="5">
        <v>44104</v>
      </c>
      <c r="C36">
        <v>68914</v>
      </c>
      <c r="E36" s="5">
        <f t="shared" si="7"/>
        <v>44104</v>
      </c>
      <c r="F36">
        <f t="shared" si="7"/>
        <v>68914</v>
      </c>
      <c r="G36">
        <f t="shared" si="3"/>
        <v>56362.32488804304</v>
      </c>
      <c r="H36">
        <f t="shared" si="6"/>
        <v>940.63876610789589</v>
      </c>
      <c r="I36">
        <f t="shared" si="4"/>
        <v>1.0931215227826288</v>
      </c>
      <c r="J36" s="8">
        <f t="shared" si="5"/>
        <v>53420.125822263901</v>
      </c>
    </row>
    <row r="37" spans="1:10" x14ac:dyDescent="0.35">
      <c r="A37" s="4">
        <f t="shared" si="2"/>
        <v>34</v>
      </c>
      <c r="B37" s="5">
        <v>44135</v>
      </c>
      <c r="C37">
        <v>47439</v>
      </c>
      <c r="E37" s="5">
        <f t="shared" si="7"/>
        <v>44135</v>
      </c>
      <c r="F37">
        <f t="shared" si="7"/>
        <v>47439</v>
      </c>
      <c r="G37">
        <f t="shared" si="3"/>
        <v>51066.014868701721</v>
      </c>
      <c r="H37">
        <f t="shared" si="6"/>
        <v>656.23373665249949</v>
      </c>
      <c r="I37">
        <f t="shared" si="4"/>
        <v>1.1310577042470711</v>
      </c>
      <c r="J37" s="8">
        <f t="shared" si="5"/>
        <v>69332.45400841182</v>
      </c>
    </row>
    <row r="38" spans="1:10" x14ac:dyDescent="0.35">
      <c r="A38" s="4">
        <f t="shared" si="2"/>
        <v>35</v>
      </c>
      <c r="B38" s="5">
        <v>44165</v>
      </c>
      <c r="C38">
        <v>75926</v>
      </c>
      <c r="E38" s="5">
        <f t="shared" si="7"/>
        <v>44165</v>
      </c>
      <c r="F38">
        <f t="shared" si="7"/>
        <v>75926</v>
      </c>
      <c r="G38">
        <f t="shared" si="3"/>
        <v>66629.033830022046</v>
      </c>
      <c r="H38">
        <f t="shared" si="6"/>
        <v>1335.9835368749759</v>
      </c>
      <c r="I38">
        <f t="shared" si="4"/>
        <v>0.89493421250142347</v>
      </c>
      <c r="J38" s="8">
        <f t="shared" si="5"/>
        <v>41350.434534556494</v>
      </c>
    </row>
    <row r="39" spans="1:10" x14ac:dyDescent="0.35">
      <c r="A39" s="4">
        <f t="shared" si="2"/>
        <v>36</v>
      </c>
      <c r="B39" s="5">
        <v>44196</v>
      </c>
      <c r="C39">
        <v>67387</v>
      </c>
      <c r="E39" s="5">
        <f t="shared" si="7"/>
        <v>44196</v>
      </c>
      <c r="F39">
        <f t="shared" si="7"/>
        <v>67387</v>
      </c>
      <c r="G39">
        <f t="shared" si="3"/>
        <v>66957.345181720622</v>
      </c>
      <c r="H39">
        <f t="shared" si="6"/>
        <v>1290.033658598745</v>
      </c>
      <c r="I39">
        <f t="shared" si="4"/>
        <v>1.0277393400009533</v>
      </c>
      <c r="J39" s="8">
        <f t="shared" si="5"/>
        <v>70415.916432893966</v>
      </c>
    </row>
    <row r="40" spans="1:10" x14ac:dyDescent="0.35">
      <c r="A40" s="4">
        <f t="shared" si="2"/>
        <v>37</v>
      </c>
      <c r="B40" s="5">
        <v>44227</v>
      </c>
      <c r="C40">
        <v>60442</v>
      </c>
      <c r="E40" s="5">
        <f t="shared" si="7"/>
        <v>44227</v>
      </c>
      <c r="F40">
        <f t="shared" si="7"/>
        <v>60442</v>
      </c>
      <c r="G40">
        <f t="shared" si="3"/>
        <v>68767.602683349338</v>
      </c>
      <c r="H40">
        <f t="shared" si="6"/>
        <v>1313.7558795901239</v>
      </c>
      <c r="I40">
        <f t="shared" si="4"/>
        <v>0.86996754563351464</v>
      </c>
      <c r="J40" s="8">
        <f t="shared" si="5"/>
        <v>59134.246293651093</v>
      </c>
    </row>
    <row r="41" spans="1:10" x14ac:dyDescent="0.35">
      <c r="A41" s="4">
        <f t="shared" si="2"/>
        <v>38</v>
      </c>
      <c r="B41" s="5">
        <v>44255</v>
      </c>
      <c r="C41">
        <v>63811</v>
      </c>
      <c r="E41" s="5">
        <f t="shared" si="7"/>
        <v>44255</v>
      </c>
      <c r="F41">
        <f t="shared" si="7"/>
        <v>63811</v>
      </c>
      <c r="G41">
        <f t="shared" si="3"/>
        <v>79864.002868148236</v>
      </c>
      <c r="H41">
        <f t="shared" si="6"/>
        <v>1759.8447184572171</v>
      </c>
      <c r="I41">
        <f t="shared" si="4"/>
        <v>0.69043850242412175</v>
      </c>
      <c r="J41" s="8">
        <f t="shared" si="5"/>
        <v>45417.644215788889</v>
      </c>
    </row>
    <row r="42" spans="1:10" x14ac:dyDescent="0.35">
      <c r="A42" s="4">
        <f t="shared" si="2"/>
        <v>39</v>
      </c>
      <c r="B42" s="5">
        <v>44286</v>
      </c>
      <c r="C42">
        <v>55821</v>
      </c>
      <c r="E42" s="5">
        <f t="shared" si="7"/>
        <v>44286</v>
      </c>
      <c r="F42">
        <f t="shared" si="7"/>
        <v>55821</v>
      </c>
      <c r="G42">
        <f t="shared" si="3"/>
        <v>75114.038084069238</v>
      </c>
      <c r="H42">
        <f t="shared" si="6"/>
        <v>1462.9972330911041</v>
      </c>
      <c r="I42">
        <f t="shared" si="4"/>
        <v>0.84860087647545202</v>
      </c>
      <c r="J42" s="8">
        <f t="shared" si="5"/>
        <v>72625.36782723511</v>
      </c>
    </row>
    <row r="43" spans="1:10" x14ac:dyDescent="0.35">
      <c r="A43" s="4">
        <f t="shared" si="2"/>
        <v>40</v>
      </c>
      <c r="B43" s="5">
        <v>44316</v>
      </c>
      <c r="C43">
        <v>33014</v>
      </c>
      <c r="E43" s="5">
        <f t="shared" si="7"/>
        <v>44316</v>
      </c>
      <c r="F43">
        <f t="shared" si="7"/>
        <v>33014</v>
      </c>
      <c r="G43">
        <f t="shared" si="3"/>
        <v>65924.675777285098</v>
      </c>
      <c r="H43">
        <f t="shared" si="6"/>
        <v>977.24935653715443</v>
      </c>
      <c r="I43">
        <f t="shared" si="4"/>
        <v>0.66051015579734274</v>
      </c>
      <c r="J43" s="8">
        <f t="shared" si="5"/>
        <v>55353.631322213572</v>
      </c>
    </row>
    <row r="44" spans="1:10" x14ac:dyDescent="0.35">
      <c r="A44" s="4">
        <f t="shared" si="2"/>
        <v>41</v>
      </c>
      <c r="B44" s="5">
        <v>44347</v>
      </c>
      <c r="C44">
        <v>11690</v>
      </c>
      <c r="E44" s="5">
        <f t="shared" si="7"/>
        <v>44347</v>
      </c>
      <c r="F44">
        <f t="shared" si="7"/>
        <v>11690</v>
      </c>
      <c r="G44">
        <f t="shared" si="3"/>
        <v>47462.617132530642</v>
      </c>
      <c r="H44">
        <f t="shared" si="6"/>
        <v>90.81639790870463</v>
      </c>
      <c r="I44">
        <f t="shared" si="4"/>
        <v>0.86963491531004877</v>
      </c>
      <c r="J44" s="8">
        <f t="shared" si="5"/>
        <v>74456.047200347573</v>
      </c>
    </row>
    <row r="45" spans="1:10" x14ac:dyDescent="0.35">
      <c r="A45" s="4">
        <f t="shared" si="2"/>
        <v>42</v>
      </c>
      <c r="B45" s="5">
        <v>44377</v>
      </c>
      <c r="C45">
        <v>9100</v>
      </c>
      <c r="E45" s="5">
        <f t="shared" si="7"/>
        <v>44377</v>
      </c>
      <c r="F45">
        <f t="shared" si="7"/>
        <v>9100</v>
      </c>
      <c r="G45">
        <f t="shared" si="3"/>
        <v>35129.011238971456</v>
      </c>
      <c r="H45">
        <f t="shared" si="6"/>
        <v>-475.73758695245289</v>
      </c>
      <c r="I45">
        <f t="shared" si="4"/>
        <v>0.64152649148840002</v>
      </c>
      <c r="J45" s="8">
        <f t="shared" si="5"/>
        <v>37605.403786151095</v>
      </c>
    </row>
    <row r="46" spans="1:10" x14ac:dyDescent="0.35">
      <c r="A46" s="4">
        <f t="shared" si="2"/>
        <v>43</v>
      </c>
      <c r="B46" s="5">
        <v>44408</v>
      </c>
      <c r="C46">
        <v>8510</v>
      </c>
      <c r="E46" s="5">
        <f t="shared" si="7"/>
        <v>44408</v>
      </c>
      <c r="F46">
        <f t="shared" si="7"/>
        <v>8510</v>
      </c>
      <c r="G46">
        <f t="shared" si="3"/>
        <v>25721.816172003833</v>
      </c>
      <c r="H46">
        <f t="shared" si="6"/>
        <v>-883.01228409434725</v>
      </c>
      <c r="I46">
        <f t="shared" si="4"/>
        <v>0.79314240558909033</v>
      </c>
      <c r="J46" s="8">
        <f t="shared" si="5"/>
        <v>33737.354118361691</v>
      </c>
    </row>
    <row r="47" spans="1:10" x14ac:dyDescent="0.35">
      <c r="A47" s="4">
        <f t="shared" si="2"/>
        <v>44</v>
      </c>
      <c r="B47" s="5">
        <v>44439</v>
      </c>
      <c r="C47">
        <v>10133</v>
      </c>
      <c r="E47" s="5">
        <f t="shared" si="7"/>
        <v>44439</v>
      </c>
      <c r="F47">
        <f t="shared" si="7"/>
        <v>10133</v>
      </c>
      <c r="G47">
        <f t="shared" si="3"/>
        <v>19026.427177403515</v>
      </c>
      <c r="H47">
        <f t="shared" si="6"/>
        <v>-1148.05681571114</v>
      </c>
      <c r="I47">
        <f t="shared" si="4"/>
        <v>1.0633310408863199</v>
      </c>
      <c r="J47" s="8">
        <f t="shared" si="5"/>
        <v>31557.129428245942</v>
      </c>
    </row>
    <row r="48" spans="1:10" x14ac:dyDescent="0.35">
      <c r="A48" s="4">
        <f t="shared" si="2"/>
        <v>45</v>
      </c>
      <c r="B48" s="5">
        <v>44469</v>
      </c>
      <c r="C48">
        <v>10459</v>
      </c>
      <c r="E48" s="5">
        <f t="shared" si="7"/>
        <v>44469</v>
      </c>
      <c r="F48">
        <f t="shared" si="7"/>
        <v>10459</v>
      </c>
      <c r="G48">
        <f t="shared" si="3"/>
        <v>15013.947523408709</v>
      </c>
      <c r="H48">
        <f t="shared" si="6"/>
        <v>-1278.6745728418971</v>
      </c>
      <c r="I48">
        <f t="shared" si="4"/>
        <v>0.98181416997000337</v>
      </c>
      <c r="J48" s="8">
        <f t="shared" si="5"/>
        <v>19543.231434644986</v>
      </c>
    </row>
    <row r="49" spans="1:10" x14ac:dyDescent="0.35">
      <c r="A49" s="4">
        <f t="shared" si="2"/>
        <v>46</v>
      </c>
      <c r="B49" s="5">
        <v>44500</v>
      </c>
      <c r="C49">
        <v>14893</v>
      </c>
      <c r="E49" s="5">
        <f t="shared" si="7"/>
        <v>44500</v>
      </c>
      <c r="F49">
        <f t="shared" si="7"/>
        <v>14893</v>
      </c>
      <c r="G49">
        <f t="shared" si="3"/>
        <v>13539.510729057411</v>
      </c>
      <c r="H49">
        <f t="shared" si="6"/>
        <v>-1287.601335316607</v>
      </c>
      <c r="I49">
        <f t="shared" si="4"/>
        <v>1.1223295210926598</v>
      </c>
      <c r="J49" s="8">
        <f t="shared" si="5"/>
        <v>15535.386290674993</v>
      </c>
    </row>
    <row r="50" spans="1:10" x14ac:dyDescent="0.35">
      <c r="A50" s="4">
        <f t="shared" si="2"/>
        <v>47</v>
      </c>
      <c r="B50" s="5">
        <v>44530</v>
      </c>
      <c r="C50">
        <v>20774</v>
      </c>
      <c r="E50" s="5">
        <f t="shared" si="7"/>
        <v>44530</v>
      </c>
      <c r="F50">
        <f t="shared" si="7"/>
        <v>20774</v>
      </c>
      <c r="G50">
        <f t="shared" si="3"/>
        <v>16029.947854918477</v>
      </c>
      <c r="H50">
        <f t="shared" si="6"/>
        <v>-1115.3226816355559</v>
      </c>
      <c r="I50">
        <f t="shared" si="4"/>
        <v>1.007508329974117</v>
      </c>
      <c r="J50" s="8">
        <f t="shared" si="5"/>
        <v>10964.652884926218</v>
      </c>
    </row>
    <row r="51" spans="1:10" x14ac:dyDescent="0.35">
      <c r="A51" s="4">
        <f t="shared" si="2"/>
        <v>48</v>
      </c>
      <c r="B51" s="5">
        <v>44561</v>
      </c>
      <c r="C51">
        <v>32567</v>
      </c>
      <c r="E51" s="5">
        <f t="shared" si="7"/>
        <v>44561</v>
      </c>
      <c r="F51">
        <f t="shared" si="7"/>
        <v>32567</v>
      </c>
      <c r="G51">
        <f t="shared" si="3"/>
        <v>20696.087887891808</v>
      </c>
      <c r="H51">
        <f t="shared" si="6"/>
        <v>-851.68782904870898</v>
      </c>
      <c r="I51">
        <f t="shared" si="4"/>
        <v>1.1809699832592024</v>
      </c>
      <c r="J51" s="8">
        <f t="shared" si="5"/>
        <v>15328.347031951393</v>
      </c>
    </row>
    <row r="52" spans="1:10" x14ac:dyDescent="0.35">
      <c r="A52" s="4">
        <f t="shared" si="2"/>
        <v>49</v>
      </c>
      <c r="B52" s="5">
        <v>44592</v>
      </c>
      <c r="C52">
        <v>59844</v>
      </c>
      <c r="E52" s="5">
        <f t="shared" si="7"/>
        <v>44592</v>
      </c>
      <c r="F52">
        <f t="shared" si="7"/>
        <v>59844</v>
      </c>
      <c r="G52">
        <f t="shared" si="3"/>
        <v>36714.59697031125</v>
      </c>
      <c r="H52">
        <f t="shared" si="6"/>
        <v>-82.4064040163139</v>
      </c>
      <c r="I52">
        <f t="shared" si="4"/>
        <v>1.0833199850183546</v>
      </c>
      <c r="J52" s="8">
        <f t="shared" si="5"/>
        <v>17263.984013761306</v>
      </c>
    </row>
    <row r="53" spans="1:10" x14ac:dyDescent="0.35">
      <c r="A53" s="4">
        <f t="shared" si="2"/>
        <v>50</v>
      </c>
      <c r="B53" s="5">
        <v>44620</v>
      </c>
      <c r="C53">
        <v>21730</v>
      </c>
      <c r="E53" s="5">
        <f t="shared" si="7"/>
        <v>44620</v>
      </c>
      <c r="F53">
        <f t="shared" si="7"/>
        <v>21730</v>
      </c>
      <c r="G53">
        <f t="shared" si="3"/>
        <v>34853.830083727029</v>
      </c>
      <c r="H53">
        <f t="shared" si="6"/>
        <v>-163.49968902243893</v>
      </c>
      <c r="I53">
        <f t="shared" si="4"/>
        <v>0.67163635445418624</v>
      </c>
      <c r="J53" s="8">
        <f t="shared" si="5"/>
        <v>25292.274795107714</v>
      </c>
    </row>
    <row r="54" spans="1:10" x14ac:dyDescent="0.35">
      <c r="A54" s="4">
        <f t="shared" si="2"/>
        <v>51</v>
      </c>
      <c r="B54" s="5">
        <v>44651</v>
      </c>
      <c r="C54">
        <v>32597</v>
      </c>
      <c r="E54" s="5">
        <f t="shared" si="7"/>
        <v>44651</v>
      </c>
      <c r="F54">
        <f t="shared" si="7"/>
        <v>32597</v>
      </c>
      <c r="G54">
        <f t="shared" si="3"/>
        <v>35973.339917877813</v>
      </c>
      <c r="H54">
        <f t="shared" si="6"/>
        <v>-104.99442085654792</v>
      </c>
      <c r="I54">
        <f t="shared" si="4"/>
        <v>0.86475434423481112</v>
      </c>
      <c r="J54" s="8">
        <f t="shared" si="5"/>
        <v>29438.24477816933</v>
      </c>
    </row>
    <row r="55" spans="1:10" x14ac:dyDescent="0.35">
      <c r="A55" s="4">
        <f t="shared" si="2"/>
        <v>52</v>
      </c>
      <c r="B55" s="5">
        <v>44681</v>
      </c>
      <c r="C55">
        <v>25446</v>
      </c>
      <c r="E55" s="5">
        <f t="shared" si="7"/>
        <v>44681</v>
      </c>
      <c r="F55">
        <f t="shared" si="7"/>
        <v>25446</v>
      </c>
      <c r="G55">
        <f t="shared" si="3"/>
        <v>36783.96367548767</v>
      </c>
      <c r="H55">
        <f t="shared" si="6"/>
        <v>-63.242207719226357</v>
      </c>
      <c r="I55">
        <f t="shared" si="4"/>
        <v>0.66928518470212883</v>
      </c>
      <c r="J55" s="8">
        <f t="shared" si="5"/>
        <v>23691.40647243043</v>
      </c>
    </row>
    <row r="56" spans="1:10" x14ac:dyDescent="0.35">
      <c r="A56" s="4">
        <f t="shared" si="2"/>
        <v>53</v>
      </c>
      <c r="B56" s="5">
        <v>44712</v>
      </c>
      <c r="C56">
        <v>49191</v>
      </c>
      <c r="E56" s="5">
        <f t="shared" si="7"/>
        <v>44712</v>
      </c>
      <c r="F56">
        <f t="shared" si="7"/>
        <v>49191</v>
      </c>
      <c r="G56">
        <f t="shared" si="3"/>
        <v>43560.707885281721</v>
      </c>
      <c r="H56">
        <f t="shared" si="6"/>
        <v>248.66135369622361</v>
      </c>
      <c r="I56">
        <f t="shared" si="4"/>
        <v>0.94251526595282775</v>
      </c>
      <c r="J56" s="8">
        <f t="shared" si="5"/>
        <v>31933.621503746701</v>
      </c>
    </row>
    <row r="57" spans="1:10" x14ac:dyDescent="0.35">
      <c r="A57" s="4">
        <f t="shared" si="2"/>
        <v>54</v>
      </c>
      <c r="B57" s="5">
        <v>44742</v>
      </c>
      <c r="C57">
        <v>32408</v>
      </c>
      <c r="E57" s="5">
        <f t="shared" si="7"/>
        <v>44742</v>
      </c>
      <c r="F57">
        <f t="shared" si="7"/>
        <v>32408</v>
      </c>
      <c r="G57">
        <f t="shared" si="3"/>
        <v>46121.365670873958</v>
      </c>
      <c r="H57">
        <f t="shared" si="6"/>
        <v>354.08845209539663</v>
      </c>
      <c r="I57">
        <f t="shared" si="4"/>
        <v>0.65869026483175885</v>
      </c>
      <c r="J57" s="8">
        <f t="shared" si="5"/>
        <v>28104.87094220136</v>
      </c>
    </row>
    <row r="58" spans="1:10" x14ac:dyDescent="0.35">
      <c r="A58" s="4">
        <f t="shared" si="2"/>
        <v>55</v>
      </c>
      <c r="B58" s="5">
        <v>44773</v>
      </c>
      <c r="C58">
        <v>28554</v>
      </c>
      <c r="E58" s="5">
        <f t="shared" si="7"/>
        <v>44773</v>
      </c>
      <c r="F58">
        <f t="shared" si="7"/>
        <v>28554</v>
      </c>
      <c r="G58">
        <f t="shared" si="3"/>
        <v>42865.143356382323</v>
      </c>
      <c r="H58">
        <f t="shared" si="6"/>
        <v>189.45818572062385</v>
      </c>
      <c r="I58">
        <f t="shared" si="4"/>
        <v>0.75748870189473649</v>
      </c>
      <c r="J58" s="8">
        <f t="shared" si="5"/>
        <v>36861.65348393732</v>
      </c>
    </row>
    <row r="59" spans="1:10" x14ac:dyDescent="0.35">
      <c r="A59" s="4">
        <f t="shared" si="2"/>
        <v>56</v>
      </c>
      <c r="B59" s="5">
        <v>44804</v>
      </c>
      <c r="C59">
        <v>44473</v>
      </c>
      <c r="E59" s="5">
        <f t="shared" si="7"/>
        <v>44804</v>
      </c>
      <c r="F59">
        <f t="shared" si="7"/>
        <v>44473</v>
      </c>
      <c r="G59">
        <f t="shared" si="3"/>
        <v>42630.515155867448</v>
      </c>
      <c r="H59">
        <f t="shared" si="6"/>
        <v>170.11983529992969</v>
      </c>
      <c r="I59">
        <f t="shared" si="4"/>
        <v>1.0576853718227706</v>
      </c>
      <c r="J59" s="8">
        <f t="shared" si="5"/>
        <v>45781.294272710082</v>
      </c>
    </row>
    <row r="60" spans="1:10" x14ac:dyDescent="0.35">
      <c r="A60" s="4">
        <f t="shared" si="2"/>
        <v>57</v>
      </c>
      <c r="B60" s="5">
        <v>44834</v>
      </c>
      <c r="C60">
        <v>42148</v>
      </c>
      <c r="E60" s="5">
        <f t="shared" si="7"/>
        <v>44834</v>
      </c>
      <c r="F60">
        <f t="shared" si="7"/>
        <v>42148</v>
      </c>
      <c r="G60">
        <f t="shared" si="3"/>
        <v>42844.774478635329</v>
      </c>
      <c r="H60">
        <f t="shared" si="6"/>
        <v>172.13259709504914</v>
      </c>
      <c r="I60">
        <f t="shared" si="4"/>
        <v>0.98235401846533488</v>
      </c>
      <c r="J60" s="8">
        <f t="shared" si="5"/>
        <v>42022.269918042082</v>
      </c>
    </row>
    <row r="61" spans="1:10" x14ac:dyDescent="0.35">
      <c r="A61" s="4">
        <f t="shared" si="2"/>
        <v>58</v>
      </c>
      <c r="B61" s="5">
        <v>44865</v>
      </c>
      <c r="C61">
        <v>40341</v>
      </c>
      <c r="E61" s="5">
        <f t="shared" si="7"/>
        <v>44865</v>
      </c>
      <c r="F61">
        <f t="shared" si="7"/>
        <v>40341</v>
      </c>
      <c r="G61">
        <f t="shared" si="3"/>
        <v>40579.006394777542</v>
      </c>
      <c r="H61">
        <f t="shared" si="6"/>
        <v>60.964261611309226</v>
      </c>
      <c r="I61">
        <f t="shared" si="4"/>
        <v>1.0863423125119591</v>
      </c>
      <c r="J61" s="8">
        <f t="shared" si="5"/>
        <v>48279.144717191928</v>
      </c>
    </row>
    <row r="62" spans="1:10" x14ac:dyDescent="0.35">
      <c r="A62" s="4">
        <f t="shared" si="2"/>
        <v>59</v>
      </c>
      <c r="B62" s="5">
        <v>44895</v>
      </c>
      <c r="C62">
        <v>41282</v>
      </c>
      <c r="E62" s="5">
        <f t="shared" si="7"/>
        <v>44895</v>
      </c>
      <c r="F62">
        <f t="shared" si="7"/>
        <v>41282</v>
      </c>
      <c r="G62">
        <f t="shared" si="3"/>
        <v>40755.225235766469</v>
      </c>
      <c r="H62">
        <f t="shared" si="6"/>
        <v>66.219873477039812</v>
      </c>
      <c r="I62">
        <f t="shared" si="4"/>
        <v>1.0090290060474656</v>
      </c>
      <c r="J62" s="8">
        <f t="shared" si="5"/>
        <v>40945.108966215455</v>
      </c>
    </row>
    <row r="63" spans="1:10" x14ac:dyDescent="0.35">
      <c r="A63" s="4">
        <f t="shared" si="2"/>
        <v>60</v>
      </c>
      <c r="B63" s="5">
        <v>44926</v>
      </c>
      <c r="C63">
        <v>40045</v>
      </c>
      <c r="E63" s="5">
        <f t="shared" si="7"/>
        <v>44926</v>
      </c>
      <c r="F63">
        <f t="shared" si="7"/>
        <v>40045</v>
      </c>
      <c r="G63">
        <f t="shared" si="3"/>
        <v>38438.707214477523</v>
      </c>
      <c r="H63">
        <f t="shared" si="6"/>
        <v>-42.433037498659516</v>
      </c>
      <c r="I63">
        <f t="shared" si="4"/>
        <v>1.1418985328898668</v>
      </c>
      <c r="J63" s="8">
        <f t="shared" si="5"/>
        <v>48208.90134727976</v>
      </c>
    </row>
    <row r="64" spans="1:10" x14ac:dyDescent="0.35">
      <c r="A64" s="4">
        <f t="shared" si="2"/>
        <v>61</v>
      </c>
      <c r="B64" s="5">
        <v>44957</v>
      </c>
      <c r="C64">
        <v>30805</v>
      </c>
      <c r="E64" s="5">
        <f t="shared" si="7"/>
        <v>44957</v>
      </c>
      <c r="F64">
        <f t="shared" si="7"/>
        <v>30805</v>
      </c>
      <c r="G64">
        <f t="shared" si="3"/>
        <v>34963.065261665652</v>
      </c>
      <c r="H64">
        <f t="shared" si="6"/>
        <v>-198.98745477464763</v>
      </c>
      <c r="I64">
        <f t="shared" si="4"/>
        <v>1.0265445251564145</v>
      </c>
      <c r="J64" s="8">
        <f t="shared" si="5"/>
        <v>41595.451166165374</v>
      </c>
    </row>
    <row r="65" spans="1:11" x14ac:dyDescent="0.35">
      <c r="A65" s="4">
        <f t="shared" si="2"/>
        <v>62</v>
      </c>
      <c r="B65" s="5">
        <v>44985</v>
      </c>
      <c r="C65">
        <v>36904</v>
      </c>
      <c r="E65" s="5">
        <f t="shared" si="7"/>
        <v>44985</v>
      </c>
      <c r="F65">
        <f t="shared" si="7"/>
        <v>36904</v>
      </c>
      <c r="G65">
        <f t="shared" si="3"/>
        <v>41720.541533886098</v>
      </c>
      <c r="H65">
        <f t="shared" si="6"/>
        <v>118.22747503160039</v>
      </c>
      <c r="I65">
        <f t="shared" si="4"/>
        <v>0.73140672639322746</v>
      </c>
      <c r="J65" s="8">
        <f t="shared" si="5"/>
        <v>23348.818484181953</v>
      </c>
    </row>
    <row r="66" spans="1:11" x14ac:dyDescent="0.35">
      <c r="A66" s="4">
        <f t="shared" si="2"/>
        <v>63</v>
      </c>
      <c r="B66" s="5">
        <v>45016</v>
      </c>
      <c r="C66">
        <v>47258</v>
      </c>
      <c r="E66" s="5">
        <f t="shared" si="7"/>
        <v>45016</v>
      </c>
      <c r="F66">
        <f t="shared" si="7"/>
        <v>47258</v>
      </c>
      <c r="G66">
        <f t="shared" si="3"/>
        <v>46254.228512174901</v>
      </c>
      <c r="H66">
        <f t="shared" si="6"/>
        <v>319.57254507814355</v>
      </c>
      <c r="I66">
        <f t="shared" si="4"/>
        <v>0.90881291365032302</v>
      </c>
      <c r="J66" s="8">
        <f t="shared" si="5"/>
        <v>36180.25725789836</v>
      </c>
    </row>
    <row r="67" spans="1:11" x14ac:dyDescent="0.35">
      <c r="A67" s="4">
        <f t="shared" si="2"/>
        <v>64</v>
      </c>
      <c r="B67" s="5">
        <v>45046</v>
      </c>
      <c r="C67">
        <v>33977</v>
      </c>
      <c r="E67" s="17">
        <f t="shared" si="7"/>
        <v>45046</v>
      </c>
      <c r="F67" s="18">
        <f t="shared" si="7"/>
        <v>33977</v>
      </c>
      <c r="G67" s="18">
        <f t="shared" si="3"/>
        <v>48018.80769146009</v>
      </c>
      <c r="H67" s="18">
        <f t="shared" si="6"/>
        <v>385.46488578866587</v>
      </c>
      <c r="I67" s="18">
        <f t="shared" si="4"/>
        <v>0.6800345508194936</v>
      </c>
      <c r="J67" s="19">
        <f t="shared" si="5"/>
        <v>31171.155042883809</v>
      </c>
    </row>
    <row r="68" spans="1:11" x14ac:dyDescent="0.35">
      <c r="A68" s="4">
        <f t="shared" si="2"/>
        <v>65</v>
      </c>
      <c r="B68" s="5">
        <v>45077</v>
      </c>
      <c r="C68">
        <v>51732</v>
      </c>
      <c r="E68" s="5">
        <f t="shared" si="7"/>
        <v>45077</v>
      </c>
      <c r="F68">
        <f t="shared" si="7"/>
        <v>51732</v>
      </c>
      <c r="I68">
        <f>I56</f>
        <v>0.94251526595282775</v>
      </c>
      <c r="J68" s="30">
        <f>($G$67+$H$67*(ROW(G68)-ROW($G$67)))*I68</f>
        <v>45621.765841398774</v>
      </c>
      <c r="K68" s="11"/>
    </row>
    <row r="69" spans="1:11" x14ac:dyDescent="0.35">
      <c r="A69" s="4">
        <f t="shared" si="2"/>
        <v>66</v>
      </c>
      <c r="B69" s="5">
        <v>45107</v>
      </c>
      <c r="C69">
        <v>42493</v>
      </c>
      <c r="E69" s="5">
        <f t="shared" si="7"/>
        <v>45107</v>
      </c>
      <c r="F69">
        <f t="shared" si="7"/>
        <v>42493</v>
      </c>
      <c r="I69">
        <f t="shared" ref="I69:I87" si="8">I57</f>
        <v>0.65869026483175885</v>
      </c>
      <c r="J69" s="30">
        <f t="shared" ref="J69:J87" si="9">($G$67+$H$67*(ROW(G69)-ROW($G$67)))*I69</f>
        <v>32137.325090600105</v>
      </c>
      <c r="K69" s="11"/>
    </row>
    <row r="70" spans="1:11" x14ac:dyDescent="0.35">
      <c r="A70" s="4">
        <f t="shared" ref="A70:A81" si="10">A69+1</f>
        <v>67</v>
      </c>
      <c r="B70" s="5">
        <v>45138</v>
      </c>
      <c r="C70">
        <v>33368</v>
      </c>
      <c r="E70" s="5">
        <f t="shared" si="7"/>
        <v>45138</v>
      </c>
      <c r="F70">
        <f t="shared" si="7"/>
        <v>33368</v>
      </c>
      <c r="I70">
        <f t="shared" si="8"/>
        <v>0.75748870189473649</v>
      </c>
      <c r="J70" s="30">
        <f t="shared" si="9"/>
        <v>37249.660192623269</v>
      </c>
      <c r="K70" s="11"/>
    </row>
    <row r="71" spans="1:11" x14ac:dyDescent="0.35">
      <c r="A71" s="4">
        <f t="shared" si="10"/>
        <v>68</v>
      </c>
      <c r="B71" s="5">
        <v>45169</v>
      </c>
      <c r="C71">
        <v>52612</v>
      </c>
      <c r="E71" s="5">
        <f t="shared" si="7"/>
        <v>45169</v>
      </c>
      <c r="F71">
        <f t="shared" si="7"/>
        <v>52612</v>
      </c>
      <c r="I71">
        <f t="shared" si="8"/>
        <v>1.0576853718227706</v>
      </c>
      <c r="J71" s="30">
        <f t="shared" si="9"/>
        <v>52419.59275182811</v>
      </c>
      <c r="K71" s="11"/>
    </row>
    <row r="72" spans="1:11" x14ac:dyDescent="0.35">
      <c r="A72" s="4">
        <f t="shared" si="10"/>
        <v>69</v>
      </c>
      <c r="B72" s="5">
        <v>45199</v>
      </c>
      <c r="C72">
        <v>52467</v>
      </c>
      <c r="E72" s="5">
        <f t="shared" si="7"/>
        <v>45199</v>
      </c>
      <c r="F72">
        <f t="shared" si="7"/>
        <v>52467</v>
      </c>
      <c r="I72">
        <f t="shared" si="8"/>
        <v>0.98235401846533488</v>
      </c>
      <c r="J72" s="30">
        <f t="shared" si="9"/>
        <v>49064.783595278837</v>
      </c>
      <c r="K72" s="11"/>
    </row>
    <row r="73" spans="1:11" x14ac:dyDescent="0.35">
      <c r="A73" s="4">
        <f t="shared" si="10"/>
        <v>70</v>
      </c>
      <c r="B73" s="5">
        <v>45230</v>
      </c>
      <c r="C73">
        <v>42235</v>
      </c>
      <c r="E73" s="5">
        <f t="shared" si="7"/>
        <v>45230</v>
      </c>
      <c r="F73">
        <f t="shared" si="7"/>
        <v>42235</v>
      </c>
      <c r="I73">
        <f t="shared" si="8"/>
        <v>1.0863423125119591</v>
      </c>
      <c r="J73" s="30">
        <f t="shared" si="9"/>
        <v>54677.343484126701</v>
      </c>
      <c r="K73" s="11"/>
    </row>
    <row r="74" spans="1:11" x14ac:dyDescent="0.35">
      <c r="A74" s="4">
        <f t="shared" si="10"/>
        <v>71</v>
      </c>
      <c r="B74" s="5">
        <v>45260</v>
      </c>
      <c r="C74">
        <v>59404</v>
      </c>
      <c r="E74" s="5">
        <f t="shared" si="7"/>
        <v>45260</v>
      </c>
      <c r="F74">
        <f t="shared" si="7"/>
        <v>59404</v>
      </c>
      <c r="I74">
        <f t="shared" si="8"/>
        <v>1.0090290060474656</v>
      </c>
      <c r="J74" s="30">
        <f t="shared" si="9"/>
        <v>51174.986550513131</v>
      </c>
      <c r="K74" s="11"/>
    </row>
    <row r="75" spans="1:11" x14ac:dyDescent="0.35">
      <c r="A75" s="4">
        <f t="shared" si="10"/>
        <v>72</v>
      </c>
      <c r="B75" s="5">
        <v>45291</v>
      </c>
      <c r="C75">
        <v>52434</v>
      </c>
      <c r="E75" s="5">
        <f t="shared" si="7"/>
        <v>45291</v>
      </c>
      <c r="F75">
        <f t="shared" si="7"/>
        <v>52434</v>
      </c>
      <c r="I75">
        <f t="shared" si="8"/>
        <v>1.1418985328898668</v>
      </c>
      <c r="J75" s="30">
        <f t="shared" si="9"/>
        <v>58353.900354500031</v>
      </c>
      <c r="K75" s="11"/>
    </row>
    <row r="76" spans="1:11" x14ac:dyDescent="0.35">
      <c r="A76" s="4">
        <f t="shared" si="10"/>
        <v>73</v>
      </c>
      <c r="B76" s="5">
        <v>45322</v>
      </c>
      <c r="C76">
        <v>52855</v>
      </c>
      <c r="E76" s="5">
        <f t="shared" si="7"/>
        <v>45322</v>
      </c>
      <c r="F76">
        <f t="shared" si="7"/>
        <v>52855</v>
      </c>
      <c r="I76">
        <f t="shared" si="8"/>
        <v>1.0265445251564145</v>
      </c>
      <c r="J76" s="30">
        <f t="shared" si="9"/>
        <v>52854.715953524661</v>
      </c>
      <c r="K76" s="11"/>
    </row>
    <row r="77" spans="1:11" x14ac:dyDescent="0.35">
      <c r="A77" s="4">
        <f t="shared" si="10"/>
        <v>74</v>
      </c>
      <c r="B77" s="5">
        <v>45351</v>
      </c>
      <c r="C77">
        <v>45697</v>
      </c>
      <c r="E77" s="5">
        <f t="shared" si="7"/>
        <v>45351</v>
      </c>
      <c r="F77">
        <f t="shared" si="7"/>
        <v>45697</v>
      </c>
      <c r="I77">
        <f t="shared" si="8"/>
        <v>0.73140672639322746</v>
      </c>
      <c r="J77" s="30">
        <f t="shared" si="9"/>
        <v>37940.595041459026</v>
      </c>
      <c r="K77" s="11"/>
    </row>
    <row r="78" spans="1:11" x14ac:dyDescent="0.35">
      <c r="A78" s="4">
        <f t="shared" si="10"/>
        <v>75</v>
      </c>
      <c r="B78" s="5">
        <v>45382</v>
      </c>
      <c r="C78">
        <v>42815</v>
      </c>
      <c r="E78" s="5">
        <f t="shared" si="7"/>
        <v>45382</v>
      </c>
      <c r="F78">
        <f t="shared" si="7"/>
        <v>42815</v>
      </c>
      <c r="I78">
        <f t="shared" si="8"/>
        <v>0.90881291365032302</v>
      </c>
      <c r="J78" s="30">
        <f t="shared" si="9"/>
        <v>47493.58265368874</v>
      </c>
      <c r="K78" s="11"/>
    </row>
    <row r="79" spans="1:11" x14ac:dyDescent="0.35">
      <c r="A79" s="4">
        <f t="shared" si="10"/>
        <v>76</v>
      </c>
      <c r="B79" s="5">
        <v>45412</v>
      </c>
      <c r="C79">
        <v>35800</v>
      </c>
      <c r="E79" s="5">
        <f t="shared" si="7"/>
        <v>45412</v>
      </c>
      <c r="F79">
        <f t="shared" si="7"/>
        <v>35800</v>
      </c>
      <c r="I79">
        <f t="shared" si="8"/>
        <v>0.6800345508194936</v>
      </c>
      <c r="J79" s="30">
        <f t="shared" si="9"/>
        <v>35800.001604917503</v>
      </c>
      <c r="K79" s="11"/>
    </row>
    <row r="80" spans="1:11" x14ac:dyDescent="0.35">
      <c r="A80" s="4">
        <f t="shared" si="10"/>
        <v>77</v>
      </c>
      <c r="B80" s="5">
        <v>45443</v>
      </c>
      <c r="E80" s="5">
        <f t="shared" si="7"/>
        <v>45443</v>
      </c>
      <c r="I80">
        <f t="shared" si="8"/>
        <v>0.94251526595282775</v>
      </c>
      <c r="J80" s="30">
        <f t="shared" si="9"/>
        <v>49981.44431353375</v>
      </c>
    </row>
    <row r="81" spans="1:13" x14ac:dyDescent="0.35">
      <c r="A81" s="12">
        <f t="shared" si="10"/>
        <v>78</v>
      </c>
      <c r="B81" s="5">
        <v>45473</v>
      </c>
      <c r="E81" s="5">
        <f t="shared" si="7"/>
        <v>45473</v>
      </c>
      <c r="I81">
        <f t="shared" si="8"/>
        <v>0.65869026483175885</v>
      </c>
      <c r="J81" s="30">
        <f t="shared" si="9"/>
        <v>35184.148703041865</v>
      </c>
    </row>
    <row r="82" spans="1:13" x14ac:dyDescent="0.35">
      <c r="A82" s="4"/>
      <c r="B82" s="5">
        <v>45504</v>
      </c>
      <c r="E82" s="5">
        <f t="shared" si="7"/>
        <v>45504</v>
      </c>
      <c r="I82">
        <f t="shared" si="8"/>
        <v>0.75748870189473649</v>
      </c>
      <c r="J82" s="30">
        <f t="shared" si="9"/>
        <v>40753.483744167985</v>
      </c>
    </row>
    <row r="83" spans="1:13" x14ac:dyDescent="0.35">
      <c r="A83" s="4"/>
      <c r="B83" s="5">
        <v>45535</v>
      </c>
      <c r="E83" s="5">
        <f t="shared" ref="E83:E87" si="11">B83</f>
        <v>45535</v>
      </c>
      <c r="I83">
        <f t="shared" si="8"/>
        <v>1.0576853718227706</v>
      </c>
      <c r="J83" s="30">
        <f t="shared" si="9"/>
        <v>57311.999604428187</v>
      </c>
      <c r="K83" s="24">
        <f>J83*one_third!K14</f>
        <v>16151.404928410206</v>
      </c>
    </row>
    <row r="84" spans="1:13" x14ac:dyDescent="0.35">
      <c r="A84" s="4"/>
      <c r="B84" s="5">
        <v>45565</v>
      </c>
      <c r="E84" s="5">
        <f t="shared" si="11"/>
        <v>45565</v>
      </c>
      <c r="I84">
        <f t="shared" si="8"/>
        <v>0.98235401846533488</v>
      </c>
      <c r="J84" s="30">
        <f t="shared" si="9"/>
        <v>53608.739349660165</v>
      </c>
      <c r="K84" s="24">
        <f>J84</f>
        <v>53608.739349660165</v>
      </c>
    </row>
    <row r="85" spans="1:13" x14ac:dyDescent="0.35">
      <c r="A85" s="4"/>
      <c r="B85" s="5">
        <v>45596</v>
      </c>
      <c r="E85" s="5">
        <f t="shared" si="11"/>
        <v>45596</v>
      </c>
      <c r="I85">
        <f t="shared" si="8"/>
        <v>1.0863423125119591</v>
      </c>
      <c r="J85" s="30">
        <f t="shared" si="9"/>
        <v>59702.305269164513</v>
      </c>
      <c r="K85" s="24">
        <f>J85</f>
        <v>59702.305269164513</v>
      </c>
    </row>
    <row r="86" spans="1:13" x14ac:dyDescent="0.35">
      <c r="A86" s="4"/>
      <c r="B86" s="5">
        <v>45626</v>
      </c>
      <c r="E86" s="5">
        <f t="shared" si="11"/>
        <v>45626</v>
      </c>
      <c r="I86">
        <f t="shared" si="8"/>
        <v>1.0090290060474656</v>
      </c>
      <c r="J86" s="30">
        <f t="shared" si="9"/>
        <v>55842.329557395584</v>
      </c>
      <c r="K86" s="24">
        <f>J86</f>
        <v>55842.329557395584</v>
      </c>
    </row>
    <row r="87" spans="1:13" x14ac:dyDescent="0.35">
      <c r="A87" s="4"/>
      <c r="B87" s="5">
        <v>45657</v>
      </c>
      <c r="E87" s="5">
        <f t="shared" si="11"/>
        <v>45657</v>
      </c>
      <c r="I87">
        <f t="shared" si="8"/>
        <v>1.1418985328898668</v>
      </c>
      <c r="J87" s="30">
        <f t="shared" si="9"/>
        <v>63635.841805251679</v>
      </c>
      <c r="K87" s="24">
        <f>J87*one_third!K12</f>
        <v>24187.421649133048</v>
      </c>
    </row>
    <row r="88" spans="1:13" x14ac:dyDescent="0.35">
      <c r="A88" s="4"/>
      <c r="B88" s="5"/>
      <c r="E88" s="5"/>
      <c r="J88" s="30"/>
    </row>
    <row r="89" spans="1:13" x14ac:dyDescent="0.35">
      <c r="A89" s="4"/>
      <c r="B89" s="5"/>
      <c r="E89" s="5"/>
      <c r="J89" s="30"/>
    </row>
    <row r="90" spans="1:13" x14ac:dyDescent="0.35">
      <c r="A90" s="4"/>
      <c r="B90" s="5"/>
      <c r="E90" s="5"/>
      <c r="J90" s="30"/>
    </row>
    <row r="92" spans="1:13" x14ac:dyDescent="0.35">
      <c r="F92" s="13" t="s">
        <v>10</v>
      </c>
      <c r="G92" s="13" t="s">
        <v>11</v>
      </c>
      <c r="H92" s="13" t="s">
        <v>12</v>
      </c>
      <c r="I92" s="13" t="s">
        <v>13</v>
      </c>
      <c r="J92" s="13" t="s">
        <v>18</v>
      </c>
      <c r="K92" s="13" t="s">
        <v>14</v>
      </c>
      <c r="L92" s="13" t="s">
        <v>15</v>
      </c>
      <c r="M92" s="13" t="s">
        <v>16</v>
      </c>
    </row>
    <row r="93" spans="1:13" x14ac:dyDescent="0.35">
      <c r="F93" s="14">
        <v>0.34468103079546286</v>
      </c>
      <c r="G93" s="15">
        <v>4.5600026429415713E-2</v>
      </c>
      <c r="H93" s="16">
        <v>0.28072288489073177</v>
      </c>
      <c r="I93" s="35" cm="1">
        <f t="array" ref="I93">SUMPRODUCT(ABS($F$68:$F$79-$J$68:$J$79))/COUNT($J$68:$J$79)</f>
        <v>5247.3936221044669</v>
      </c>
      <c r="J93" s="36">
        <f>(SUMXMY2($F$68:$F$79,$J$68:$J$79)/COUNT($J$68:$J$79))^0.5</f>
        <v>6524.8186099423956</v>
      </c>
      <c r="K93" s="37" cm="1">
        <f t="array" ref="K93">SUMPRODUCT(ABS(1-$J$68:$J$79/$F$68:$F$79))/COUNT($J$68:$J$79)</f>
        <v>0.11430738191076593</v>
      </c>
      <c r="L93" s="11" cm="1">
        <f t="array" ref="L93">SUM($J$68:$J$79-$F$68:$F$79)</f>
        <v>-9123.7468855411134</v>
      </c>
      <c r="M93" s="11" cm="1">
        <f t="array" ref="M93">MIN($J$68:$J$79-$F$68:$F$79)</f>
        <v>-10355.674909399895</v>
      </c>
    </row>
    <row r="94" spans="1:13" x14ac:dyDescent="0.35">
      <c r="I94" s="35" cm="1">
        <f t="array" ref="I94">SUMPRODUCT(ABS($F$56:$F$67-$J$56:$J$67))/COUNT($J$56:$J$67)</f>
        <v>7164.1952393428955</v>
      </c>
      <c r="J94" s="36">
        <f>(SUMXMY2($F$56:$F$67,$J$56:$J$67)/COUNT($J$56:$J$67))^0.5</f>
        <v>8886.4195800168654</v>
      </c>
      <c r="K94" s="37" cm="1">
        <f t="array" ref="K94">SUMPRODUCT(ABS(1-$J$56:$J$67/$F$56:$F$67))/COUNT($J$56:$J$67)</f>
        <v>0.18752810194759614</v>
      </c>
      <c r="L94" s="11" cm="1">
        <f t="array" ref="L94">SUM($J$56:$J$67-$F$56:$F$67)</f>
        <v>-12953.452897545816</v>
      </c>
      <c r="M94" s="11" cm="1">
        <f t="array" ref="M94">MIN($J$56:$J$67-$F$56:$F$67)</f>
        <v>-17257.378496253299</v>
      </c>
    </row>
    <row r="98" spans="9:13" x14ac:dyDescent="0.35">
      <c r="I98">
        <v>6397.9903719657477</v>
      </c>
      <c r="J98">
        <v>7994.2670232134415</v>
      </c>
      <c r="K98">
        <v>0.16734128207446419</v>
      </c>
      <c r="L98" s="24">
        <v>-15486.453701063459</v>
      </c>
      <c r="M98">
        <v>-15393.901460559249</v>
      </c>
    </row>
    <row r="99" spans="9:13" x14ac:dyDescent="0.35">
      <c r="I99">
        <v>7153.1681149504611</v>
      </c>
      <c r="J99">
        <v>8873.9470495733858</v>
      </c>
      <c r="K99">
        <v>0.18710766730412975</v>
      </c>
      <c r="L99">
        <v>-13288.975985388704</v>
      </c>
      <c r="M99">
        <v>-17243.618327927397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DFC45-D2DA-469C-AC3D-B9960AB24F88}">
  <dimension ref="A1:J97"/>
  <sheetViews>
    <sheetView topLeftCell="A67" workbookViewId="0">
      <selection activeCell="D81" sqref="D81"/>
    </sheetView>
  </sheetViews>
  <sheetFormatPr defaultRowHeight="14.5" x14ac:dyDescent="0.35"/>
  <cols>
    <col min="1" max="1" width="10.08984375" bestFit="1" customWidth="1"/>
    <col min="7" max="7" width="10.1796875" bestFit="1" customWidth="1"/>
  </cols>
  <sheetData>
    <row r="1" spans="1:3" ht="15" thickTop="1" x14ac:dyDescent="0.35">
      <c r="A1" t="s">
        <v>2</v>
      </c>
      <c r="B1" t="s">
        <v>5</v>
      </c>
      <c r="C1" s="3" t="s">
        <v>9</v>
      </c>
    </row>
    <row r="2" spans="1:3" x14ac:dyDescent="0.35">
      <c r="A2" s="5">
        <v>43131</v>
      </c>
      <c r="B2">
        <v>34890</v>
      </c>
      <c r="C2">
        <v>45520.797509362797</v>
      </c>
    </row>
    <row r="3" spans="1:3" x14ac:dyDescent="0.35">
      <c r="A3" s="5">
        <v>43159</v>
      </c>
      <c r="B3">
        <v>25830</v>
      </c>
      <c r="C3">
        <v>46738.303025027701</v>
      </c>
    </row>
    <row r="4" spans="1:3" x14ac:dyDescent="0.35">
      <c r="A4" s="5">
        <v>43190</v>
      </c>
      <c r="B4">
        <v>41054</v>
      </c>
      <c r="C4">
        <v>52299.203650923999</v>
      </c>
    </row>
    <row r="5" spans="1:3" x14ac:dyDescent="0.35">
      <c r="A5" s="5">
        <v>43220</v>
      </c>
      <c r="B5">
        <v>36838</v>
      </c>
      <c r="C5">
        <v>54821.0541607372</v>
      </c>
    </row>
    <row r="6" spans="1:3" x14ac:dyDescent="0.35">
      <c r="A6" s="5">
        <v>43251</v>
      </c>
      <c r="B6">
        <v>56808</v>
      </c>
      <c r="C6">
        <v>56875.257128046898</v>
      </c>
    </row>
    <row r="7" spans="1:3" x14ac:dyDescent="0.35">
      <c r="A7" s="5">
        <v>43281</v>
      </c>
      <c r="B7">
        <v>34939</v>
      </c>
      <c r="C7">
        <v>56889.147481553497</v>
      </c>
    </row>
    <row r="8" spans="1:3" x14ac:dyDescent="0.35">
      <c r="A8" s="5">
        <v>43312</v>
      </c>
      <c r="B8">
        <v>41853</v>
      </c>
      <c r="C8">
        <v>55457.891447672999</v>
      </c>
    </row>
    <row r="9" spans="1:3" x14ac:dyDescent="0.35">
      <c r="A9" s="5">
        <v>43343</v>
      </c>
      <c r="B9">
        <v>58036</v>
      </c>
      <c r="C9">
        <v>52554.960326986198</v>
      </c>
    </row>
    <row r="10" spans="1:3" x14ac:dyDescent="0.35">
      <c r="A10" s="5">
        <v>43373</v>
      </c>
      <c r="B10">
        <v>42879</v>
      </c>
      <c r="C10">
        <v>48730.6147064877</v>
      </c>
    </row>
    <row r="11" spans="1:3" x14ac:dyDescent="0.35">
      <c r="A11" s="5">
        <v>43404</v>
      </c>
      <c r="B11">
        <v>54081</v>
      </c>
      <c r="C11">
        <v>44498.611728955897</v>
      </c>
    </row>
    <row r="12" spans="1:3" x14ac:dyDescent="0.35">
      <c r="A12" s="5">
        <v>43434</v>
      </c>
      <c r="B12">
        <v>31764</v>
      </c>
      <c r="C12">
        <v>40496.088123982001</v>
      </c>
    </row>
    <row r="13" spans="1:3" x14ac:dyDescent="0.35">
      <c r="A13" s="5">
        <v>43465</v>
      </c>
      <c r="B13">
        <v>45101</v>
      </c>
      <c r="C13">
        <v>37286.586905914497</v>
      </c>
    </row>
    <row r="14" spans="1:3" x14ac:dyDescent="0.35">
      <c r="A14" s="5">
        <v>43496</v>
      </c>
      <c r="B14">
        <v>61974</v>
      </c>
      <c r="C14">
        <v>35325.819543877798</v>
      </c>
    </row>
    <row r="15" spans="1:3" x14ac:dyDescent="0.35">
      <c r="A15" s="5">
        <v>43524</v>
      </c>
      <c r="B15">
        <v>37927</v>
      </c>
      <c r="C15">
        <v>34877.142967002699</v>
      </c>
    </row>
    <row r="16" spans="1:3" x14ac:dyDescent="0.35">
      <c r="A16" s="5">
        <v>43555</v>
      </c>
      <c r="B16">
        <v>59679</v>
      </c>
      <c r="C16">
        <v>35985.301052025199</v>
      </c>
    </row>
    <row r="17" spans="1:3" x14ac:dyDescent="0.35">
      <c r="A17" s="5">
        <v>43585</v>
      </c>
      <c r="B17">
        <v>56163</v>
      </c>
      <c r="C17">
        <v>38468.970057668899</v>
      </c>
    </row>
    <row r="18" spans="1:3" x14ac:dyDescent="0.35">
      <c r="A18" s="5">
        <v>43616</v>
      </c>
      <c r="B18">
        <v>118501</v>
      </c>
      <c r="C18">
        <v>41951.750512569299</v>
      </c>
    </row>
    <row r="19" spans="1:3" x14ac:dyDescent="0.35">
      <c r="A19" s="5">
        <v>43646</v>
      </c>
      <c r="B19">
        <v>78698</v>
      </c>
      <c r="C19">
        <v>45918.263977210197</v>
      </c>
    </row>
    <row r="20" spans="1:3" x14ac:dyDescent="0.35">
      <c r="A20" s="5">
        <v>43677</v>
      </c>
      <c r="B20">
        <v>109530</v>
      </c>
      <c r="C20">
        <v>49790.635378521802</v>
      </c>
    </row>
    <row r="21" spans="1:3" x14ac:dyDescent="0.35">
      <c r="A21" s="5">
        <v>43708</v>
      </c>
      <c r="B21">
        <v>116775</v>
      </c>
      <c r="C21">
        <v>53012.4230262614</v>
      </c>
    </row>
    <row r="22" spans="1:3" x14ac:dyDescent="0.35">
      <c r="A22" s="5">
        <v>43738</v>
      </c>
      <c r="B22">
        <v>115435</v>
      </c>
      <c r="C22">
        <v>55128.535012411303</v>
      </c>
    </row>
    <row r="23" spans="1:3" x14ac:dyDescent="0.35">
      <c r="A23" s="5">
        <v>43769</v>
      </c>
      <c r="B23">
        <v>100006</v>
      </c>
      <c r="C23">
        <v>55849.353793714297</v>
      </c>
    </row>
    <row r="24" spans="1:3" x14ac:dyDescent="0.35">
      <c r="A24" s="5">
        <v>43799</v>
      </c>
      <c r="B24">
        <v>105375</v>
      </c>
      <c r="C24">
        <v>55090.193314773998</v>
      </c>
    </row>
    <row r="25" spans="1:3" x14ac:dyDescent="0.35">
      <c r="A25" s="5">
        <v>43830</v>
      </c>
      <c r="B25">
        <v>106477</v>
      </c>
      <c r="C25">
        <v>52980.680433548601</v>
      </c>
    </row>
    <row r="26" spans="1:3" x14ac:dyDescent="0.35">
      <c r="A26" s="5">
        <v>43861</v>
      </c>
      <c r="B26">
        <v>82087</v>
      </c>
      <c r="C26">
        <v>49843.150020767498</v>
      </c>
    </row>
    <row r="27" spans="1:3" x14ac:dyDescent="0.35">
      <c r="A27" s="5">
        <v>43890</v>
      </c>
      <c r="B27">
        <v>90055</v>
      </c>
      <c r="C27">
        <v>46143.577661414602</v>
      </c>
    </row>
    <row r="28" spans="1:3" x14ac:dyDescent="0.35">
      <c r="A28" s="5">
        <v>43921</v>
      </c>
      <c r="B28">
        <v>77921</v>
      </c>
      <c r="C28">
        <v>42422.498908958303</v>
      </c>
    </row>
    <row r="29" spans="1:3" x14ac:dyDescent="0.35">
      <c r="A29" s="5">
        <v>43951</v>
      </c>
      <c r="B29">
        <v>31224</v>
      </c>
      <c r="C29">
        <v>39216.136343355902</v>
      </c>
    </row>
    <row r="30" spans="1:3" x14ac:dyDescent="0.35">
      <c r="A30" s="5">
        <v>43982</v>
      </c>
      <c r="B30">
        <v>23641</v>
      </c>
      <c r="C30">
        <v>36979.229431740299</v>
      </c>
    </row>
    <row r="31" spans="1:3" x14ac:dyDescent="0.35">
      <c r="A31" s="5">
        <v>44012</v>
      </c>
      <c r="B31">
        <v>36735</v>
      </c>
      <c r="C31">
        <v>36020.657779935304</v>
      </c>
    </row>
    <row r="32" spans="1:3" x14ac:dyDescent="0.35">
      <c r="A32" s="5">
        <v>44043</v>
      </c>
      <c r="B32">
        <v>44506</v>
      </c>
      <c r="C32">
        <v>36460.954452199599</v>
      </c>
    </row>
    <row r="33" spans="1:3" x14ac:dyDescent="0.35">
      <c r="A33" s="5">
        <v>44074</v>
      </c>
      <c r="B33">
        <v>55883</v>
      </c>
      <c r="C33">
        <v>38217.528303903498</v>
      </c>
    </row>
    <row r="34" spans="1:3" x14ac:dyDescent="0.35">
      <c r="A34" s="5">
        <v>44104</v>
      </c>
      <c r="B34">
        <v>68914</v>
      </c>
      <c r="C34">
        <v>41019.343849758297</v>
      </c>
    </row>
    <row r="35" spans="1:3" x14ac:dyDescent="0.35">
      <c r="A35" s="5">
        <v>44135</v>
      </c>
      <c r="B35">
        <v>47439</v>
      </c>
      <c r="C35">
        <v>44448.540541401599</v>
      </c>
    </row>
    <row r="36" spans="1:3" x14ac:dyDescent="0.35">
      <c r="A36" s="5">
        <v>44165</v>
      </c>
      <c r="B36">
        <v>75926</v>
      </c>
      <c r="C36">
        <v>48002.6279328581</v>
      </c>
    </row>
    <row r="37" spans="1:3" x14ac:dyDescent="0.35">
      <c r="A37" s="5">
        <v>44196</v>
      </c>
      <c r="B37">
        <v>67387</v>
      </c>
      <c r="C37">
        <v>51168.017000808999</v>
      </c>
    </row>
    <row r="38" spans="1:3" x14ac:dyDescent="0.35">
      <c r="A38" s="5">
        <v>44227</v>
      </c>
      <c r="B38">
        <v>60442</v>
      </c>
      <c r="C38">
        <v>53494.141874219902</v>
      </c>
    </row>
    <row r="39" spans="1:3" x14ac:dyDescent="0.35">
      <c r="A39" s="5">
        <v>44255</v>
      </c>
      <c r="B39">
        <v>63811</v>
      </c>
      <c r="C39">
        <v>54657.488508405499</v>
      </c>
    </row>
    <row r="40" spans="1:3" x14ac:dyDescent="0.35">
      <c r="A40" s="5">
        <v>44286</v>
      </c>
      <c r="B40">
        <v>55821</v>
      </c>
      <c r="C40">
        <v>54506.446953034203</v>
      </c>
    </row>
    <row r="41" spans="1:3" x14ac:dyDescent="0.35">
      <c r="A41" s="5">
        <v>44316</v>
      </c>
      <c r="B41">
        <v>33014</v>
      </c>
      <c r="C41">
        <v>53080.790268144199</v>
      </c>
    </row>
    <row r="42" spans="1:3" x14ac:dyDescent="0.35">
      <c r="A42" s="5">
        <v>44347</v>
      </c>
      <c r="B42">
        <v>11690</v>
      </c>
      <c r="C42">
        <v>50603.322491065897</v>
      </c>
    </row>
    <row r="43" spans="1:3" x14ac:dyDescent="0.35">
      <c r="A43" s="5">
        <v>44377</v>
      </c>
      <c r="B43">
        <v>9100</v>
      </c>
      <c r="C43">
        <v>47445.280096893701</v>
      </c>
    </row>
    <row r="44" spans="1:3" x14ac:dyDescent="0.35">
      <c r="A44" s="5">
        <v>44408</v>
      </c>
      <c r="B44">
        <v>8510</v>
      </c>
      <c r="C44">
        <v>44070.829822451597</v>
      </c>
    </row>
    <row r="45" spans="1:3" x14ac:dyDescent="0.35">
      <c r="A45" s="5">
        <v>44439</v>
      </c>
      <c r="B45">
        <v>10133</v>
      </c>
      <c r="C45">
        <v>40968.943119606804</v>
      </c>
    </row>
    <row r="46" spans="1:3" x14ac:dyDescent="0.35">
      <c r="A46" s="5">
        <v>44469</v>
      </c>
      <c r="B46">
        <v>10459</v>
      </c>
      <c r="C46">
        <v>38582.632066166501</v>
      </c>
    </row>
    <row r="47" spans="1:3" x14ac:dyDescent="0.35">
      <c r="A47" s="5">
        <v>44500</v>
      </c>
      <c r="B47">
        <v>14893</v>
      </c>
      <c r="C47">
        <v>37245.774693363303</v>
      </c>
    </row>
    <row r="48" spans="1:3" x14ac:dyDescent="0.35">
      <c r="A48" s="5">
        <v>44530</v>
      </c>
      <c r="B48">
        <v>20774</v>
      </c>
      <c r="C48">
        <v>37136.524406417397</v>
      </c>
    </row>
    <row r="49" spans="1:3" x14ac:dyDescent="0.35">
      <c r="A49" s="5">
        <v>44561</v>
      </c>
      <c r="B49">
        <v>32567</v>
      </c>
      <c r="C49">
        <v>38253.7863427466</v>
      </c>
    </row>
    <row r="50" spans="1:3" x14ac:dyDescent="0.35">
      <c r="A50" s="5">
        <v>44592</v>
      </c>
      <c r="B50">
        <v>59844</v>
      </c>
      <c r="C50">
        <v>40419.832425261797</v>
      </c>
    </row>
    <row r="51" spans="1:3" x14ac:dyDescent="0.35">
      <c r="A51" s="5">
        <v>44620</v>
      </c>
      <c r="B51">
        <v>21730</v>
      </c>
      <c r="C51">
        <v>43308.320135255599</v>
      </c>
    </row>
    <row r="52" spans="1:3" x14ac:dyDescent="0.35">
      <c r="A52" s="5">
        <v>44651</v>
      </c>
      <c r="B52">
        <v>32597</v>
      </c>
      <c r="C52">
        <v>46493.331338783901</v>
      </c>
    </row>
    <row r="53" spans="1:3" x14ac:dyDescent="0.35">
      <c r="A53" s="5">
        <v>44681</v>
      </c>
      <c r="B53">
        <v>25446</v>
      </c>
      <c r="C53">
        <v>49512.080187574102</v>
      </c>
    </row>
    <row r="54" spans="1:3" x14ac:dyDescent="0.35">
      <c r="A54" s="5">
        <v>44712</v>
      </c>
      <c r="B54">
        <v>49191</v>
      </c>
      <c r="C54">
        <v>51932.071205927197</v>
      </c>
    </row>
    <row r="55" spans="1:3" x14ac:dyDescent="0.35">
      <c r="A55" s="5">
        <v>44742</v>
      </c>
      <c r="B55">
        <v>32408</v>
      </c>
      <c r="C55">
        <v>53412.974122150299</v>
      </c>
    </row>
    <row r="56" spans="1:3" x14ac:dyDescent="0.35">
      <c r="A56" s="5">
        <v>44773</v>
      </c>
      <c r="B56">
        <v>28554</v>
      </c>
      <c r="C56">
        <v>53754.3763616094</v>
      </c>
    </row>
    <row r="57" spans="1:3" x14ac:dyDescent="0.35">
      <c r="A57" s="5">
        <v>44804</v>
      </c>
      <c r="B57">
        <v>44473</v>
      </c>
      <c r="C57">
        <v>52922.729263508598</v>
      </c>
    </row>
    <row r="58" spans="1:3" x14ac:dyDescent="0.35">
      <c r="A58" s="5">
        <v>44834</v>
      </c>
      <c r="B58">
        <v>42148</v>
      </c>
      <c r="C58">
        <v>51053.892336097299</v>
      </c>
    </row>
    <row r="59" spans="1:3" x14ac:dyDescent="0.35">
      <c r="A59" s="5">
        <v>44865</v>
      </c>
      <c r="B59">
        <v>40341</v>
      </c>
      <c r="C59">
        <v>48431.243647845797</v>
      </c>
    </row>
    <row r="60" spans="1:3" x14ac:dyDescent="0.35">
      <c r="A60" s="5">
        <v>44895</v>
      </c>
      <c r="B60">
        <v>41282</v>
      </c>
      <c r="C60">
        <v>45442.843972802497</v>
      </c>
    </row>
    <row r="61" spans="1:3" x14ac:dyDescent="0.35">
      <c r="A61" s="5">
        <v>44926</v>
      </c>
      <c r="B61">
        <v>40045</v>
      </c>
      <c r="C61">
        <v>42524.111275246898</v>
      </c>
    </row>
    <row r="62" spans="1:3" x14ac:dyDescent="0.35">
      <c r="A62" s="5">
        <v>44957</v>
      </c>
      <c r="B62">
        <v>30805</v>
      </c>
      <c r="C62">
        <v>40094.460474614898</v>
      </c>
    </row>
    <row r="63" spans="1:3" x14ac:dyDescent="0.35">
      <c r="A63" s="5">
        <v>44985</v>
      </c>
      <c r="B63">
        <v>36904</v>
      </c>
      <c r="C63">
        <v>38497.116669991199</v>
      </c>
    </row>
    <row r="64" spans="1:3" x14ac:dyDescent="0.35">
      <c r="A64" s="5">
        <v>45016</v>
      </c>
      <c r="B64">
        <v>47258</v>
      </c>
      <c r="C64">
        <v>37950.726708896502</v>
      </c>
    </row>
    <row r="65" spans="1:3" x14ac:dyDescent="0.35">
      <c r="A65" s="5">
        <v>45046</v>
      </c>
      <c r="B65">
        <v>33977</v>
      </c>
      <c r="C65">
        <v>38519.576489453</v>
      </c>
    </row>
    <row r="66" spans="1:3" x14ac:dyDescent="0.35">
      <c r="A66" s="5">
        <v>45077</v>
      </c>
      <c r="B66">
        <v>51732</v>
      </c>
      <c r="C66">
        <v>45520.797509362797</v>
      </c>
    </row>
    <row r="67" spans="1:3" x14ac:dyDescent="0.35">
      <c r="A67" s="5">
        <v>45107</v>
      </c>
      <c r="B67">
        <v>42493</v>
      </c>
      <c r="C67">
        <v>46738.303025027701</v>
      </c>
    </row>
    <row r="68" spans="1:3" x14ac:dyDescent="0.35">
      <c r="A68" s="5">
        <v>45138</v>
      </c>
      <c r="B68">
        <v>33368</v>
      </c>
      <c r="C68">
        <v>52299.203650923999</v>
      </c>
    </row>
    <row r="69" spans="1:3" x14ac:dyDescent="0.35">
      <c r="A69" s="5">
        <v>45169</v>
      </c>
      <c r="B69">
        <v>52612</v>
      </c>
      <c r="C69">
        <v>54821.0541607372</v>
      </c>
    </row>
    <row r="70" spans="1:3" x14ac:dyDescent="0.35">
      <c r="A70" s="5">
        <v>45199</v>
      </c>
      <c r="B70">
        <v>52467</v>
      </c>
      <c r="C70">
        <v>56875.257128046898</v>
      </c>
    </row>
    <row r="71" spans="1:3" x14ac:dyDescent="0.35">
      <c r="A71" s="5">
        <v>45230</v>
      </c>
      <c r="B71">
        <v>42235</v>
      </c>
      <c r="C71">
        <v>56889.147481553497</v>
      </c>
    </row>
    <row r="72" spans="1:3" x14ac:dyDescent="0.35">
      <c r="A72" s="5">
        <v>45260</v>
      </c>
      <c r="B72">
        <v>59404</v>
      </c>
      <c r="C72">
        <v>55457.891447672999</v>
      </c>
    </row>
    <row r="73" spans="1:3" x14ac:dyDescent="0.35">
      <c r="A73" s="5">
        <v>45291</v>
      </c>
      <c r="B73">
        <v>52434</v>
      </c>
      <c r="C73">
        <v>52554.960326986198</v>
      </c>
    </row>
    <row r="74" spans="1:3" x14ac:dyDescent="0.35">
      <c r="A74" s="5">
        <v>45322</v>
      </c>
      <c r="B74">
        <v>52855</v>
      </c>
      <c r="C74">
        <v>48730.6147064877</v>
      </c>
    </row>
    <row r="75" spans="1:3" x14ac:dyDescent="0.35">
      <c r="A75" s="5">
        <v>45351</v>
      </c>
      <c r="B75">
        <v>45697</v>
      </c>
      <c r="C75">
        <v>44498.611728955897</v>
      </c>
    </row>
    <row r="76" spans="1:3" x14ac:dyDescent="0.35">
      <c r="A76" s="5">
        <v>45382</v>
      </c>
      <c r="B76">
        <v>42815</v>
      </c>
      <c r="C76">
        <v>40496.088123982001</v>
      </c>
    </row>
    <row r="77" spans="1:3" x14ac:dyDescent="0.35">
      <c r="A77" s="5">
        <v>45412</v>
      </c>
      <c r="B77">
        <v>35800</v>
      </c>
      <c r="C77">
        <v>37286.586905914497</v>
      </c>
    </row>
    <row r="78" spans="1:3" x14ac:dyDescent="0.35">
      <c r="A78" s="5">
        <v>45443</v>
      </c>
      <c r="C78">
        <v>35325.819543877798</v>
      </c>
    </row>
    <row r="79" spans="1:3" x14ac:dyDescent="0.35">
      <c r="A79" s="5">
        <v>45473</v>
      </c>
      <c r="C79">
        <v>34877.142967002699</v>
      </c>
    </row>
    <row r="80" spans="1:3" x14ac:dyDescent="0.35">
      <c r="A80" s="5">
        <v>45504</v>
      </c>
      <c r="C80">
        <v>35985.301052025199</v>
      </c>
    </row>
    <row r="81" spans="1:10" x14ac:dyDescent="0.35">
      <c r="A81" s="5">
        <v>45535</v>
      </c>
      <c r="C81">
        <v>38468.970057668899</v>
      </c>
      <c r="D81">
        <f>C81*one_third!K14</f>
        <v>10841.148744918184</v>
      </c>
    </row>
    <row r="82" spans="1:10" x14ac:dyDescent="0.35">
      <c r="A82" s="5">
        <v>45565</v>
      </c>
      <c r="C82">
        <v>41951.750512569299</v>
      </c>
      <c r="D82">
        <f>C82</f>
        <v>41951.750512569299</v>
      </c>
    </row>
    <row r="83" spans="1:10" x14ac:dyDescent="0.35">
      <c r="A83" s="5">
        <v>45596</v>
      </c>
      <c r="C83">
        <v>45918.263977210197</v>
      </c>
      <c r="D83">
        <f>C83</f>
        <v>45918.263977210197</v>
      </c>
    </row>
    <row r="84" spans="1:10" x14ac:dyDescent="0.35">
      <c r="A84" s="5">
        <v>45626</v>
      </c>
      <c r="C84">
        <v>49790.635378521802</v>
      </c>
      <c r="D84">
        <f>C84</f>
        <v>49790.635378521802</v>
      </c>
    </row>
    <row r="85" spans="1:10" x14ac:dyDescent="0.35">
      <c r="A85" s="5">
        <v>45657</v>
      </c>
      <c r="C85">
        <v>53012.4230262614</v>
      </c>
      <c r="D85">
        <f>C85*one_third!K12</f>
        <v>20149.553962097118</v>
      </c>
    </row>
    <row r="95" spans="1:10" x14ac:dyDescent="0.35">
      <c r="F95" s="13" t="s">
        <v>13</v>
      </c>
      <c r="G95" s="13" t="s">
        <v>18</v>
      </c>
      <c r="H95" s="13" t="s">
        <v>14</v>
      </c>
      <c r="I95" s="13" t="s">
        <v>15</v>
      </c>
      <c r="J95" s="13" t="s">
        <v>16</v>
      </c>
    </row>
    <row r="96" spans="1:10" x14ac:dyDescent="0.35">
      <c r="F96" cm="1">
        <f t="array" ref="F96">SUMPRODUCT(ABS($B$54:$B$65-$C$54:$C$65))/COUNT($C$54:$C$65)</f>
        <v>8813.7224258625483</v>
      </c>
      <c r="G96" s="32">
        <f>(SUMXMY2($B$54:$B$65,$C$54:$C$65)/COUNT($C$54:$C$65))^0.5</f>
        <v>11252.767483296821</v>
      </c>
      <c r="H96" s="33" cm="1">
        <f t="array" ref="H96">SUMPRODUCT(ABS(1-$C$54:$C$65/$B$54:$B$65))/COUNT($C$54:$C$65)</f>
        <v>0.25219387952910099</v>
      </c>
      <c r="I96" s="34" cm="1">
        <f t="array" ref="I96">SUM($C$54:$C$65-$B$54:$B$65)</f>
        <v>87150.122528143591</v>
      </c>
      <c r="J96" s="34" cm="1">
        <f t="array" ref="J96">MIN($C$54:$C$65-$B$54:$B$65)</f>
        <v>-9307.2732911034982</v>
      </c>
    </row>
    <row r="97" spans="6:10" x14ac:dyDescent="0.35">
      <c r="F97" cm="1">
        <f t="array" ref="F97">SUMPRODUCT(ABS($B$66:$B$77-$C$66:$C$77))/COUNT($C$66:$C$77)</f>
        <v>5321.2090968940493</v>
      </c>
      <c r="G97" s="32">
        <f>(SUMXMY2($B$66:$B$77,$C$66:$C$77)/COUNT($C$66:$C$77))^0.5</f>
        <v>7613.9629461956038</v>
      </c>
      <c r="H97" s="33" cm="1">
        <f t="array" ref="H97">SUMPRODUCT(ABS(1-$C$66:$C$77/$B$66:$B$77))/COUNT($C$66:$C$77)</f>
        <v>0.12741409393788489</v>
      </c>
      <c r="I97" s="34" cm="1">
        <f t="array" ref="I97">SUM($C$66:$C$77-$B$66:$B$77)</f>
        <v>28256.516195651384</v>
      </c>
      <c r="J97" s="34" cm="1">
        <f t="array" ref="J97">MIN($C$66:$C$77-$B$66:$B$77)</f>
        <v>-6211.2024906372026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B3360-EFEC-4E32-8DB6-A1311BF30722}">
  <dimension ref="B3:K38"/>
  <sheetViews>
    <sheetView showGridLines="0" tabSelected="1" topLeftCell="B6" zoomScale="70" zoomScaleNormal="70" workbookViewId="0">
      <selection activeCell="J22" sqref="J22"/>
    </sheetView>
  </sheetViews>
  <sheetFormatPr defaultRowHeight="14.5" x14ac:dyDescent="0.35"/>
  <cols>
    <col min="3" max="3" width="22.54296875" customWidth="1"/>
    <col min="6" max="6" width="15.08984375" bestFit="1" customWidth="1"/>
    <col min="7" max="7" width="11.54296875" bestFit="1" customWidth="1"/>
    <col min="8" max="8" width="19" customWidth="1"/>
    <col min="9" max="9" width="15.453125" bestFit="1" customWidth="1"/>
    <col min="10" max="10" width="18.08984375" bestFit="1" customWidth="1"/>
    <col min="11" max="11" width="15.90625" bestFit="1" customWidth="1"/>
  </cols>
  <sheetData>
    <row r="3" spans="2:11" ht="28" customHeight="1" x14ac:dyDescent="0.35">
      <c r="C3" s="62" t="s">
        <v>25</v>
      </c>
      <c r="D3" s="63" t="s">
        <v>13</v>
      </c>
      <c r="E3" s="63" t="s">
        <v>18</v>
      </c>
      <c r="F3" s="63" t="s">
        <v>14</v>
      </c>
      <c r="G3" s="63" t="s">
        <v>15</v>
      </c>
      <c r="H3" s="64" t="s">
        <v>26</v>
      </c>
      <c r="I3" s="65" t="s">
        <v>27</v>
      </c>
      <c r="J3" s="45"/>
      <c r="K3" s="45"/>
    </row>
    <row r="4" spans="2:11" x14ac:dyDescent="0.35">
      <c r="B4" s="44"/>
      <c r="C4" s="54" t="s">
        <v>28</v>
      </c>
      <c r="D4" s="30">
        <f>'Exp Smoothing - Orange'!G96</f>
        <v>7627.4261558864855</v>
      </c>
      <c r="E4" s="30">
        <f>'Exp Smoothing - Orange'!H96</f>
        <v>9806.35320718804</v>
      </c>
      <c r="F4" s="55">
        <f>'Exp Smoothing - Orange'!I96</f>
        <v>0.19636325701278559</v>
      </c>
      <c r="G4" s="30">
        <f>'Exp Smoothing - Orange'!J96</f>
        <v>-13649.636864567514</v>
      </c>
      <c r="H4" s="30">
        <f>'Exp Smoothing - Orange'!K96</f>
        <v>-21803.539582953545</v>
      </c>
      <c r="I4" s="56" t="str">
        <f>IF(G4&gt;0, "OverPredict",IF(G4&lt;0,"UnderPredict","Match"))</f>
        <v>UnderPredict</v>
      </c>
    </row>
    <row r="5" spans="2:11" x14ac:dyDescent="0.35">
      <c r="B5" s="44"/>
      <c r="C5" s="54" t="s">
        <v>32</v>
      </c>
      <c r="D5" s="30">
        <f>'Exp Smoothing - Orange Opt'!G96</f>
        <v>5180.6984187614244</v>
      </c>
      <c r="E5" s="30">
        <f>'Exp Smoothing - Orange Opt'!H96</f>
        <v>6425.7104409510357</v>
      </c>
      <c r="F5" s="55">
        <f>'Exp Smoothing - Orange Opt'!I96</f>
        <v>0.1453725213662834</v>
      </c>
      <c r="G5" s="30">
        <f>'Exp Smoothing - Orange Opt'!J96</f>
        <v>16636.797245662005</v>
      </c>
      <c r="H5" s="30">
        <f>'Exp Smoothing - Orange Opt'!K96</f>
        <v>-8812.3364458825308</v>
      </c>
      <c r="I5" s="57" t="str">
        <f>IF(G5&gt;0, "OverPredict",IF(G5&lt;0,"UnderPredict","Match"))</f>
        <v>OverPredict</v>
      </c>
    </row>
    <row r="6" spans="2:11" x14ac:dyDescent="0.35">
      <c r="B6" s="44"/>
      <c r="C6" s="54" t="s">
        <v>29</v>
      </c>
      <c r="D6" s="30">
        <f>'Holt-Winters add'!I96</f>
        <v>6287.715059933772</v>
      </c>
      <c r="E6" s="30">
        <f>'Holt-Winters add'!J96</f>
        <v>6816.0254502930802</v>
      </c>
      <c r="F6" s="55">
        <f>'Holt-Winters add'!L96</f>
        <v>0.1666075797450077</v>
      </c>
      <c r="G6" s="30">
        <f>'Holt-Winters add'!M96</f>
        <v>456.48875448889885</v>
      </c>
      <c r="H6" s="30">
        <f>'Holt-Winters add'!N96</f>
        <v>-8653.015264257454</v>
      </c>
      <c r="I6" s="57" t="str">
        <f>IF(G6&gt;0, "OverPredict",IF(G6&lt;0,"UnderPredict","Match"))</f>
        <v>OverPredict</v>
      </c>
    </row>
    <row r="7" spans="2:11" x14ac:dyDescent="0.35">
      <c r="B7" s="44"/>
      <c r="C7" s="54" t="s">
        <v>30</v>
      </c>
      <c r="D7" s="30">
        <f>'Holt-Winters mlt'!I93</f>
        <v>5247.3936221044669</v>
      </c>
      <c r="E7" s="30">
        <f>'Holt-Winters mlt'!J93</f>
        <v>6524.8186099423956</v>
      </c>
      <c r="F7" s="55">
        <f>'Holt-Winters mlt'!K93</f>
        <v>0.11430738191076593</v>
      </c>
      <c r="G7" s="30">
        <f>'Holt-Winters mlt'!L93</f>
        <v>-9123.7468855411134</v>
      </c>
      <c r="H7" s="30">
        <f>'Holt-Winters mlt'!M93</f>
        <v>-10355.674909399895</v>
      </c>
      <c r="I7" s="56" t="str">
        <f>IF(G7&gt;0, "OverPredict",IF(G7&lt;0,"UnderPredict","Match"))</f>
        <v>UnderPredict</v>
      </c>
    </row>
    <row r="8" spans="2:11" x14ac:dyDescent="0.35">
      <c r="B8" s="44"/>
      <c r="C8" s="58" t="s">
        <v>33</v>
      </c>
      <c r="D8" s="59">
        <f>ARIMA!F96</f>
        <v>8813.7224258625483</v>
      </c>
      <c r="E8" s="59">
        <f>ARIMA!G96</f>
        <v>11252.767483296821</v>
      </c>
      <c r="F8" s="60">
        <f>ARIMA!H96</f>
        <v>0.25219387952910099</v>
      </c>
      <c r="G8" s="59">
        <f>ARIMA!I96</f>
        <v>87150.122528143591</v>
      </c>
      <c r="H8" s="59">
        <f>ARIMA!J96</f>
        <v>-9307.2732911034982</v>
      </c>
      <c r="I8" s="61" t="str">
        <f>IF(G8&gt;0, "OverPredict",IF(G8&lt;0,"UnderPredict","Match"))</f>
        <v>OverPredict</v>
      </c>
    </row>
    <row r="9" spans="2:11" x14ac:dyDescent="0.35">
      <c r="F9" s="31"/>
    </row>
    <row r="10" spans="2:11" x14ac:dyDescent="0.35">
      <c r="F10" s="31"/>
    </row>
    <row r="11" spans="2:11" ht="28.5" customHeight="1" x14ac:dyDescent="0.35">
      <c r="C11" s="62" t="s">
        <v>31</v>
      </c>
      <c r="D11" s="63" t="s">
        <v>13</v>
      </c>
      <c r="E11" s="63" t="s">
        <v>18</v>
      </c>
      <c r="F11" s="73" t="s">
        <v>14</v>
      </c>
      <c r="G11" s="63" t="s">
        <v>15</v>
      </c>
      <c r="H11" s="64" t="s">
        <v>26</v>
      </c>
      <c r="I11" s="63" t="s">
        <v>27</v>
      </c>
      <c r="J11" s="63" t="s">
        <v>34</v>
      </c>
      <c r="K11" s="65" t="s">
        <v>50</v>
      </c>
    </row>
    <row r="12" spans="2:11" x14ac:dyDescent="0.35">
      <c r="B12" s="44"/>
      <c r="C12" s="54" t="s">
        <v>28</v>
      </c>
      <c r="D12" s="30">
        <f>'Exp Smoothing - Orange'!G97</f>
        <v>10836.529185170848</v>
      </c>
      <c r="E12" s="30">
        <f>'Exp Smoothing - Orange'!H97</f>
        <v>12540.219304321023</v>
      </c>
      <c r="F12" s="55">
        <f>'Exp Smoothing - Orange'!I97</f>
        <v>0.21483164143838532</v>
      </c>
      <c r="G12" s="30">
        <f>'Exp Smoothing - Orange'!J97</f>
        <v>-120605.52533307526</v>
      </c>
      <c r="H12" s="30">
        <f>'Exp Smoothing - Orange'!K97</f>
        <v>-22461.793777756269</v>
      </c>
      <c r="I12" s="66" t="str">
        <f>IF(G12&gt;0, "OverPredict",IF(G12&lt;0,"UnderPredict","Match"))</f>
        <v>UnderPredict</v>
      </c>
      <c r="J12" s="8">
        <f>SUM('Exp Smoothing - Orange'!$C$81:$C$85)</f>
        <v>184711.03111121865</v>
      </c>
      <c r="K12" s="67">
        <f>SUM('Exp Smoothing - Orange'!$D$81:$D$85)</f>
        <v>135278.90826225007</v>
      </c>
    </row>
    <row r="13" spans="2:11" x14ac:dyDescent="0.35">
      <c r="B13" s="44"/>
      <c r="C13" s="54" t="s">
        <v>32</v>
      </c>
      <c r="D13" s="30">
        <f>'Exp Smoothing - Orange Opt'!G97</f>
        <v>8629.843365845687</v>
      </c>
      <c r="E13" s="30">
        <f>'Exp Smoothing - Orange Opt'!H97</f>
        <v>10083.58888323003</v>
      </c>
      <c r="F13" s="55">
        <f>'Exp Smoothing - Orange Opt'!I97</f>
        <v>0.1743471369323176</v>
      </c>
      <c r="G13" s="30">
        <f>'Exp Smoothing - Orange Opt'!J97</f>
        <v>-80885.180585222377</v>
      </c>
      <c r="H13" s="30">
        <f>'Exp Smoothing - Orange Opt'!K97</f>
        <v>-19151.765048768531</v>
      </c>
      <c r="I13" s="66" t="str">
        <f>IF(G13&gt;0, "OverPredict",IF(G13&lt;0,"UnderPredict","Match"))</f>
        <v>UnderPredict</v>
      </c>
      <c r="J13" s="8">
        <f>SUM('Exp Smoothing - Orange Opt'!$C$81:$C$85)</f>
        <v>201261.17475615733</v>
      </c>
      <c r="K13" s="68">
        <f>SUM('Exp Smoothing - Orange Opt'!$D$81:$D$85)</f>
        <v>147399.92426438932</v>
      </c>
    </row>
    <row r="14" spans="2:11" x14ac:dyDescent="0.35">
      <c r="B14" s="44" t="s">
        <v>53</v>
      </c>
      <c r="C14" s="54" t="s">
        <v>29</v>
      </c>
      <c r="D14" s="30">
        <f>'Holt-Winters add'!I97</f>
        <v>7495.9458828832767</v>
      </c>
      <c r="E14" s="30">
        <f>'Holt-Winters add'!J97</f>
        <v>8654.2663861546516</v>
      </c>
      <c r="F14" s="55">
        <f>'Holt-Winters add'!L97</f>
        <v>0.16789477815763773</v>
      </c>
      <c r="G14" s="30">
        <f>'Holt-Winters add'!M97</f>
        <v>12773.668672122258</v>
      </c>
      <c r="H14" s="30">
        <f>'Holt-Winters add'!N97</f>
        <v>-16161.578192063243</v>
      </c>
      <c r="I14" s="69" t="str">
        <f>IF(G14&gt;0, "OverPredict",IF(G14&lt;0,"UnderPredict","Match"))</f>
        <v>OverPredict</v>
      </c>
      <c r="J14" s="8">
        <f>SUM('Holt-Winters add'!$J$83:$J$87)</f>
        <v>313153.54584893811</v>
      </c>
      <c r="K14" s="68">
        <f>SUM('Holt-Winters add'!$K$83:$K$87)</f>
        <v>223512.73490954604</v>
      </c>
    </row>
    <row r="15" spans="2:11" x14ac:dyDescent="0.35">
      <c r="B15" s="44" t="s">
        <v>54</v>
      </c>
      <c r="C15" s="54" t="s">
        <v>30</v>
      </c>
      <c r="D15" s="30">
        <f>'Holt-Winters mlt'!I94</f>
        <v>7164.1952393428955</v>
      </c>
      <c r="E15" s="30">
        <f>'Holt-Winters mlt'!J94</f>
        <v>8886.4195800168654</v>
      </c>
      <c r="F15" s="55">
        <f>'Holt-Winters mlt'!K94</f>
        <v>0.18752810194759614</v>
      </c>
      <c r="G15" s="30">
        <f>'Holt-Winters mlt'!L94</f>
        <v>-12953.452897545816</v>
      </c>
      <c r="H15" s="30">
        <f>'Holt-Winters mlt'!M94</f>
        <v>-17257.378496253299</v>
      </c>
      <c r="I15" s="66" t="str">
        <f>IF(G15&gt;0, "OverPredict",IF(G15&lt;0,"UnderPredict","Match"))</f>
        <v>UnderPredict</v>
      </c>
      <c r="J15" s="70">
        <f>SUM('Holt-Winters mlt'!$J$83:$J$87)</f>
        <v>290101.21558590012</v>
      </c>
      <c r="K15" s="67">
        <f>SUM('Holt-Winters mlt'!$K$83:$K$87)</f>
        <v>209492.20075376352</v>
      </c>
    </row>
    <row r="16" spans="2:11" x14ac:dyDescent="0.35">
      <c r="B16" s="44" t="s">
        <v>55</v>
      </c>
      <c r="C16" s="58" t="s">
        <v>33</v>
      </c>
      <c r="D16" s="59">
        <f>ARIMA!F97</f>
        <v>5321.2090968940493</v>
      </c>
      <c r="E16" s="59">
        <f>ARIMA!G97</f>
        <v>7613.9629461956038</v>
      </c>
      <c r="F16" s="60">
        <f>ARIMA!H97</f>
        <v>0.12741409393788489</v>
      </c>
      <c r="G16" s="59">
        <f>ARIMA!I97</f>
        <v>28256.516195651384</v>
      </c>
      <c r="H16" s="59">
        <f>ARIMA!J97</f>
        <v>-6211.2024906372026</v>
      </c>
      <c r="I16" s="71" t="str">
        <f>IF(G16&gt;0, "OverPredict",IF(G16&lt;0,"UnderPredict","Match"))</f>
        <v>OverPredict</v>
      </c>
      <c r="J16" s="59">
        <f>SUM(ARIMA!$C$81:$C$85)</f>
        <v>229142.0429522316</v>
      </c>
      <c r="K16" s="72">
        <f>SUM(ARIMA!$D$81:$D$85)</f>
        <v>168651.35257531662</v>
      </c>
    </row>
    <row r="18" spans="2:10" x14ac:dyDescent="0.35">
      <c r="G18" s="24"/>
    </row>
    <row r="19" spans="2:10" x14ac:dyDescent="0.35">
      <c r="J19" s="25"/>
    </row>
    <row r="22" spans="2:10" x14ac:dyDescent="0.35">
      <c r="B22" s="63" t="s">
        <v>52</v>
      </c>
      <c r="C22" s="63" t="s">
        <v>51</v>
      </c>
      <c r="D22" s="63" t="s">
        <v>13</v>
      </c>
      <c r="E22" s="73" t="s">
        <v>14</v>
      </c>
      <c r="F22" s="63" t="s">
        <v>15</v>
      </c>
      <c r="G22" s="63" t="s">
        <v>27</v>
      </c>
      <c r="H22" s="63" t="s">
        <v>34</v>
      </c>
      <c r="I22" s="63" t="s">
        <v>50</v>
      </c>
    </row>
    <row r="23" spans="2:10" ht="29" x14ac:dyDescent="0.35">
      <c r="B23" s="75" t="s">
        <v>53</v>
      </c>
      <c r="C23" s="76" t="s">
        <v>56</v>
      </c>
      <c r="D23" s="77">
        <f>D14</f>
        <v>7495.9458828832767</v>
      </c>
      <c r="E23" s="78">
        <f>F14</f>
        <v>0.16789477815763773</v>
      </c>
      <c r="F23" s="77">
        <f>G14</f>
        <v>12773.668672122258</v>
      </c>
      <c r="G23" s="86" t="str">
        <f>I14</f>
        <v>OverPredict</v>
      </c>
      <c r="H23" s="77">
        <f>J14</f>
        <v>313153.54584893811</v>
      </c>
      <c r="I23" s="77">
        <f>K14</f>
        <v>223512.73490954604</v>
      </c>
    </row>
    <row r="24" spans="2:10" ht="29" x14ac:dyDescent="0.35">
      <c r="B24" s="82" t="s">
        <v>54</v>
      </c>
      <c r="C24" s="83" t="s">
        <v>57</v>
      </c>
      <c r="D24" s="84">
        <f>D15</f>
        <v>7164.1952393428955</v>
      </c>
      <c r="E24" s="85">
        <f>F15</f>
        <v>0.18752810194759614</v>
      </c>
      <c r="F24" s="84">
        <f>G15</f>
        <v>-12953.452897545816</v>
      </c>
      <c r="G24" s="87" t="str">
        <f>I15</f>
        <v>UnderPredict</v>
      </c>
      <c r="H24" s="84">
        <f>J15</f>
        <v>290101.21558590012</v>
      </c>
      <c r="I24" s="84">
        <f>K15</f>
        <v>209492.20075376352</v>
      </c>
    </row>
    <row r="25" spans="2:10" ht="29" x14ac:dyDescent="0.35">
      <c r="B25" s="27" t="s">
        <v>55</v>
      </c>
      <c r="C25" s="79" t="s">
        <v>58</v>
      </c>
      <c r="D25" s="80">
        <f>D16</f>
        <v>5321.2090968940493</v>
      </c>
      <c r="E25" s="81">
        <f>F16</f>
        <v>0.12741409393788489</v>
      </c>
      <c r="F25" s="80">
        <f>G16</f>
        <v>28256.516195651384</v>
      </c>
      <c r="G25" s="71" t="str">
        <f>I16</f>
        <v>OverPredict</v>
      </c>
      <c r="H25" s="80">
        <f>J16</f>
        <v>229142.0429522316</v>
      </c>
      <c r="I25" s="80">
        <f>K16</f>
        <v>168651.35257531662</v>
      </c>
    </row>
    <row r="27" spans="2:10" x14ac:dyDescent="0.35">
      <c r="F27" s="25"/>
    </row>
    <row r="28" spans="2:10" x14ac:dyDescent="0.35">
      <c r="F28" s="24">
        <f>40000*F23</f>
        <v>510946746.88489032</v>
      </c>
      <c r="J28" t="s">
        <v>69</v>
      </c>
    </row>
    <row r="29" spans="2:10" x14ac:dyDescent="0.35">
      <c r="F29" s="25">
        <f>F23/12*4</f>
        <v>4257.8895573740856</v>
      </c>
    </row>
    <row r="30" spans="2:10" x14ac:dyDescent="0.35">
      <c r="F30" s="25">
        <f>F25/12*4</f>
        <v>9418.838731883794</v>
      </c>
      <c r="J30" t="s">
        <v>70</v>
      </c>
    </row>
    <row r="31" spans="2:10" x14ac:dyDescent="0.35">
      <c r="F31" t="s">
        <v>62</v>
      </c>
      <c r="G31" s="47">
        <v>45809</v>
      </c>
    </row>
    <row r="32" spans="2:10" x14ac:dyDescent="0.35">
      <c r="G32" t="s">
        <v>63</v>
      </c>
    </row>
    <row r="33" spans="3:7" x14ac:dyDescent="0.35">
      <c r="C33" s="18"/>
      <c r="G33" t="s">
        <v>64</v>
      </c>
    </row>
    <row r="34" spans="3:7" x14ac:dyDescent="0.35">
      <c r="C34" s="18"/>
    </row>
    <row r="36" spans="3:7" x14ac:dyDescent="0.35">
      <c r="C36" t="s">
        <v>65</v>
      </c>
      <c r="D36" t="s">
        <v>66</v>
      </c>
      <c r="E36" t="s">
        <v>67</v>
      </c>
      <c r="F36" t="s">
        <v>68</v>
      </c>
    </row>
    <row r="37" spans="3:7" x14ac:dyDescent="0.35">
      <c r="C37">
        <v>1000</v>
      </c>
      <c r="D37">
        <v>2000</v>
      </c>
      <c r="E37">
        <f>D37-C37</f>
        <v>1000</v>
      </c>
      <c r="F37">
        <f>ABS(E37)</f>
        <v>1000</v>
      </c>
      <c r="G37" s="74">
        <f>F37/C37</f>
        <v>1</v>
      </c>
    </row>
    <row r="38" spans="3:7" x14ac:dyDescent="0.35">
      <c r="C38">
        <v>1000</v>
      </c>
      <c r="D38">
        <v>100</v>
      </c>
      <c r="E38">
        <f>D38-C38</f>
        <v>-900</v>
      </c>
      <c r="F38">
        <f>ABS(E38)</f>
        <v>900</v>
      </c>
      <c r="G38" s="74">
        <f>F38/C38</f>
        <v>0.9</v>
      </c>
    </row>
  </sheetData>
  <conditionalFormatting sqref="I4:I1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084DC-6544-468A-9551-DE00D18D32EA}">
  <dimension ref="A3:K14"/>
  <sheetViews>
    <sheetView topLeftCell="A7" workbookViewId="0">
      <selection activeCell="K14" sqref="K14"/>
    </sheetView>
  </sheetViews>
  <sheetFormatPr defaultRowHeight="14.5" x14ac:dyDescent="0.35"/>
  <cols>
    <col min="1" max="1" width="12.453125" bestFit="1" customWidth="1"/>
    <col min="2" max="2" width="12.7265625" bestFit="1" customWidth="1"/>
    <col min="3" max="3" width="12.90625" bestFit="1" customWidth="1"/>
    <col min="4" max="4" width="12.54296875" bestFit="1" customWidth="1"/>
    <col min="5" max="5" width="12.90625" bestFit="1" customWidth="1"/>
    <col min="6" max="6" width="13" bestFit="1" customWidth="1"/>
    <col min="7" max="7" width="12.36328125" bestFit="1" customWidth="1"/>
    <col min="8" max="9" width="12.7265625" bestFit="1" customWidth="1"/>
    <col min="10" max="10" width="12.453125" bestFit="1" customWidth="1"/>
  </cols>
  <sheetData>
    <row r="3" spans="1:11" x14ac:dyDescent="0.35">
      <c r="A3" s="48" t="s">
        <v>37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</row>
    <row r="4" spans="1:11" x14ac:dyDescent="0.35">
      <c r="A4" s="49">
        <v>1</v>
      </c>
      <c r="B4">
        <v>17736</v>
      </c>
      <c r="C4">
        <v>15315</v>
      </c>
      <c r="D4">
        <v>22595</v>
      </c>
      <c r="E4">
        <v>22239</v>
      </c>
      <c r="F4">
        <v>20401</v>
      </c>
      <c r="G4">
        <v>15659</v>
      </c>
      <c r="H4">
        <v>16145</v>
      </c>
      <c r="I4">
        <v>16720</v>
      </c>
      <c r="J4">
        <v>16689</v>
      </c>
    </row>
    <row r="5" spans="1:11" x14ac:dyDescent="0.35">
      <c r="A5" s="49">
        <v>2</v>
      </c>
      <c r="B5">
        <v>15187</v>
      </c>
      <c r="C5">
        <v>25877</v>
      </c>
      <c r="D5">
        <v>5994</v>
      </c>
      <c r="E5">
        <v>19309</v>
      </c>
      <c r="F5">
        <v>20891</v>
      </c>
      <c r="G5">
        <v>15806</v>
      </c>
      <c r="H5">
        <v>17664</v>
      </c>
      <c r="I5">
        <v>17454</v>
      </c>
      <c r="J5">
        <v>11131</v>
      </c>
    </row>
    <row r="6" spans="1:11" x14ac:dyDescent="0.35">
      <c r="A6" s="49">
        <v>3</v>
      </c>
      <c r="B6">
        <v>19689</v>
      </c>
      <c r="C6">
        <v>11275</v>
      </c>
      <c r="D6">
        <v>13646</v>
      </c>
      <c r="E6">
        <v>17856</v>
      </c>
      <c r="F6">
        <v>11142</v>
      </c>
      <c r="G6">
        <v>21390</v>
      </c>
      <c r="H6">
        <v>11888</v>
      </c>
      <c r="I6">
        <v>8641</v>
      </c>
      <c r="J6">
        <v>8997</v>
      </c>
    </row>
    <row r="7" spans="1:11" x14ac:dyDescent="0.35">
      <c r="A7" s="49" t="s">
        <v>38</v>
      </c>
      <c r="B7">
        <v>52612</v>
      </c>
      <c r="C7">
        <v>52467</v>
      </c>
      <c r="D7">
        <v>42235</v>
      </c>
      <c r="E7">
        <v>59404</v>
      </c>
      <c r="F7">
        <v>52434</v>
      </c>
      <c r="G7">
        <v>52855</v>
      </c>
      <c r="H7">
        <v>45697</v>
      </c>
      <c r="I7">
        <v>42815</v>
      </c>
      <c r="J7">
        <v>36817</v>
      </c>
    </row>
    <row r="11" spans="1:11" x14ac:dyDescent="0.35">
      <c r="A11" s="1" t="s">
        <v>36</v>
      </c>
      <c r="B11" s="52">
        <v>45139</v>
      </c>
      <c r="C11" s="52">
        <v>45170</v>
      </c>
      <c r="D11" s="52">
        <v>45200</v>
      </c>
      <c r="E11" s="52">
        <v>45231</v>
      </c>
      <c r="F11" s="52">
        <v>45261</v>
      </c>
      <c r="G11" s="52">
        <v>45292</v>
      </c>
      <c r="H11" s="52">
        <v>45323</v>
      </c>
      <c r="I11" s="52">
        <v>45352</v>
      </c>
      <c r="J11" s="52">
        <v>45383</v>
      </c>
      <c r="K11" s="53" t="s">
        <v>48</v>
      </c>
    </row>
    <row r="12" spans="1:11" x14ac:dyDescent="0.35">
      <c r="A12" s="50" t="s">
        <v>59</v>
      </c>
      <c r="B12" s="31">
        <f>B4/B$7</f>
        <v>0.33710940469854783</v>
      </c>
      <c r="C12" s="31">
        <f t="shared" ref="C12:J12" si="0">C4/C$7</f>
        <v>0.29189776430899422</v>
      </c>
      <c r="D12" s="31">
        <f t="shared" si="0"/>
        <v>0.53498283414229908</v>
      </c>
      <c r="E12" s="31">
        <f t="shared" si="0"/>
        <v>0.37436872937849303</v>
      </c>
      <c r="F12" s="31">
        <f t="shared" si="0"/>
        <v>0.38907960483655646</v>
      </c>
      <c r="G12" s="31">
        <f t="shared" si="0"/>
        <v>0.29626336202819031</v>
      </c>
      <c r="H12" s="31">
        <f t="shared" si="0"/>
        <v>0.35330546863032586</v>
      </c>
      <c r="I12" s="31">
        <f t="shared" si="0"/>
        <v>0.3905173420530188</v>
      </c>
      <c r="J12" s="31">
        <f t="shared" si="0"/>
        <v>0.45329603172447508</v>
      </c>
      <c r="K12" s="51">
        <f>AVERAGE(B12:J12)</f>
        <v>0.38009117131121117</v>
      </c>
    </row>
    <row r="13" spans="1:11" x14ac:dyDescent="0.35">
      <c r="A13" s="50" t="s">
        <v>60</v>
      </c>
      <c r="B13" s="31">
        <f>B5/B$7</f>
        <v>0.28866038166197827</v>
      </c>
      <c r="C13" s="31">
        <f t="shared" ref="C13:J13" si="1">C5/C$7</f>
        <v>0.49320525282558558</v>
      </c>
      <c r="D13" s="31">
        <f t="shared" si="1"/>
        <v>0.14192020835799693</v>
      </c>
      <c r="E13" s="31">
        <f t="shared" si="1"/>
        <v>0.3250454514847485</v>
      </c>
      <c r="F13" s="31">
        <f t="shared" si="1"/>
        <v>0.39842468627226607</v>
      </c>
      <c r="G13" s="31">
        <f t="shared" si="1"/>
        <v>0.29904455586037271</v>
      </c>
      <c r="H13" s="31">
        <f t="shared" si="1"/>
        <v>0.38654616276779658</v>
      </c>
      <c r="I13" s="31">
        <f t="shared" si="1"/>
        <v>0.40766086651874345</v>
      </c>
      <c r="J13" s="31">
        <f t="shared" si="1"/>
        <v>0.30233316131135074</v>
      </c>
      <c r="K13" s="51">
        <f>AVERAGE(B13:J13)</f>
        <v>0.33809341411787097</v>
      </c>
    </row>
    <row r="14" spans="1:11" x14ac:dyDescent="0.35">
      <c r="A14" s="50" t="s">
        <v>61</v>
      </c>
      <c r="B14" s="31">
        <f>B6/B$7</f>
        <v>0.3742302136394739</v>
      </c>
      <c r="C14" s="31">
        <f t="shared" ref="C14:J14" si="2">C6/C$7</f>
        <v>0.21489698286542017</v>
      </c>
      <c r="D14" s="31">
        <f t="shared" si="2"/>
        <v>0.32309695749970402</v>
      </c>
      <c r="E14" s="31">
        <f t="shared" si="2"/>
        <v>0.30058581913675847</v>
      </c>
      <c r="F14" s="31">
        <f t="shared" si="2"/>
        <v>0.21249570889117747</v>
      </c>
      <c r="G14" s="31">
        <f t="shared" si="2"/>
        <v>0.40469208211143692</v>
      </c>
      <c r="H14" s="31">
        <f t="shared" si="2"/>
        <v>0.26014836860187757</v>
      </c>
      <c r="I14" s="31">
        <f t="shared" si="2"/>
        <v>0.20182179142823778</v>
      </c>
      <c r="J14" s="31">
        <f t="shared" si="2"/>
        <v>0.24437080696417415</v>
      </c>
      <c r="K14" s="51">
        <f>AVERAGE(B14:J14)</f>
        <v>0.2818154145709178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0002C-8F8E-484B-A1D3-2027772FE4D5}">
  <dimension ref="A1:L67"/>
  <sheetViews>
    <sheetView workbookViewId="0">
      <selection activeCell="C13" sqref="C13:C22"/>
    </sheetView>
  </sheetViews>
  <sheetFormatPr defaultRowHeight="14.5" x14ac:dyDescent="0.35"/>
  <cols>
    <col min="1" max="1" width="9.08984375" bestFit="1" customWidth="1"/>
    <col min="2" max="3" width="9.08984375" customWidth="1"/>
  </cols>
  <sheetData>
    <row r="1" spans="1:12" x14ac:dyDescent="0.35">
      <c r="B1" t="s">
        <v>36</v>
      </c>
      <c r="C1" t="s">
        <v>35</v>
      </c>
      <c r="D1" s="47">
        <v>45139</v>
      </c>
      <c r="E1" s="47">
        <v>45170</v>
      </c>
      <c r="F1" s="47">
        <v>45200</v>
      </c>
      <c r="G1" s="47">
        <v>45231</v>
      </c>
      <c r="H1" s="47">
        <v>45261</v>
      </c>
      <c r="I1" s="47">
        <v>45292</v>
      </c>
      <c r="J1" s="47">
        <v>45323</v>
      </c>
      <c r="K1" s="47">
        <v>45352</v>
      </c>
      <c r="L1" s="47">
        <v>45383</v>
      </c>
    </row>
    <row r="2" spans="1:12" x14ac:dyDescent="0.35">
      <c r="A2" s="46"/>
      <c r="B2">
        <v>1</v>
      </c>
      <c r="C2">
        <v>1</v>
      </c>
      <c r="D2">
        <v>2142</v>
      </c>
      <c r="E2">
        <v>3296</v>
      </c>
      <c r="F2">
        <v>0</v>
      </c>
      <c r="G2">
        <v>3841</v>
      </c>
      <c r="H2">
        <v>1466</v>
      </c>
      <c r="I2">
        <v>2203</v>
      </c>
      <c r="J2">
        <v>3728</v>
      </c>
      <c r="K2">
        <v>3768</v>
      </c>
      <c r="L2">
        <v>6158</v>
      </c>
    </row>
    <row r="3" spans="1:12" x14ac:dyDescent="0.35">
      <c r="A3" s="46"/>
      <c r="B3">
        <v>1</v>
      </c>
      <c r="C3">
        <v>2</v>
      </c>
      <c r="D3">
        <v>2037</v>
      </c>
      <c r="E3">
        <v>0</v>
      </c>
      <c r="F3">
        <v>5099</v>
      </c>
      <c r="G3">
        <v>768</v>
      </c>
      <c r="H3">
        <v>0</v>
      </c>
      <c r="I3">
        <v>3422</v>
      </c>
      <c r="J3">
        <v>3731</v>
      </c>
      <c r="K3">
        <v>0</v>
      </c>
      <c r="L3">
        <v>4268</v>
      </c>
    </row>
    <row r="4" spans="1:12" x14ac:dyDescent="0.35">
      <c r="A4" s="46"/>
      <c r="B4">
        <v>1</v>
      </c>
      <c r="C4">
        <v>3</v>
      </c>
      <c r="D4">
        <v>1120</v>
      </c>
      <c r="E4">
        <v>0</v>
      </c>
      <c r="F4">
        <v>3919</v>
      </c>
      <c r="G4">
        <v>1013</v>
      </c>
      <c r="H4">
        <v>0</v>
      </c>
      <c r="I4">
        <v>3155</v>
      </c>
      <c r="J4">
        <v>0</v>
      </c>
      <c r="K4">
        <v>0</v>
      </c>
      <c r="L4">
        <v>4458</v>
      </c>
    </row>
    <row r="5" spans="1:12" x14ac:dyDescent="0.35">
      <c r="A5" s="46"/>
      <c r="B5">
        <v>1</v>
      </c>
      <c r="C5">
        <v>4</v>
      </c>
      <c r="D5">
        <v>880</v>
      </c>
      <c r="E5">
        <v>4263</v>
      </c>
      <c r="F5">
        <v>3650</v>
      </c>
      <c r="G5">
        <v>0</v>
      </c>
      <c r="H5">
        <v>5075</v>
      </c>
      <c r="I5">
        <v>969</v>
      </c>
      <c r="J5">
        <v>0</v>
      </c>
      <c r="K5">
        <v>4725</v>
      </c>
      <c r="L5">
        <v>888</v>
      </c>
    </row>
    <row r="6" spans="1:12" x14ac:dyDescent="0.35">
      <c r="A6" s="46"/>
      <c r="B6">
        <v>1</v>
      </c>
      <c r="C6">
        <v>5</v>
      </c>
      <c r="D6">
        <v>0</v>
      </c>
      <c r="E6">
        <v>3203</v>
      </c>
      <c r="F6">
        <v>3659</v>
      </c>
      <c r="G6">
        <v>0</v>
      </c>
      <c r="H6">
        <v>3551</v>
      </c>
      <c r="I6">
        <v>895</v>
      </c>
      <c r="J6">
        <v>5732</v>
      </c>
      <c r="K6">
        <v>3414</v>
      </c>
      <c r="L6">
        <v>917</v>
      </c>
    </row>
    <row r="7" spans="1:12" x14ac:dyDescent="0.35">
      <c r="A7" s="46"/>
      <c r="B7">
        <v>1</v>
      </c>
      <c r="C7">
        <v>6</v>
      </c>
      <c r="D7">
        <v>0</v>
      </c>
      <c r="E7">
        <v>659</v>
      </c>
      <c r="F7">
        <v>3579</v>
      </c>
      <c r="G7">
        <v>1572</v>
      </c>
      <c r="H7">
        <v>3455</v>
      </c>
      <c r="I7">
        <v>0</v>
      </c>
      <c r="J7">
        <v>880</v>
      </c>
      <c r="K7">
        <v>3331</v>
      </c>
      <c r="L7">
        <v>0</v>
      </c>
    </row>
    <row r="8" spans="1:12" x14ac:dyDescent="0.35">
      <c r="A8" s="46"/>
      <c r="B8">
        <v>1</v>
      </c>
      <c r="C8">
        <v>7</v>
      </c>
      <c r="D8">
        <v>1527</v>
      </c>
      <c r="E8">
        <v>621</v>
      </c>
      <c r="F8">
        <v>0</v>
      </c>
      <c r="G8">
        <v>4347</v>
      </c>
      <c r="H8">
        <v>3454</v>
      </c>
      <c r="I8">
        <v>0</v>
      </c>
      <c r="J8">
        <v>846</v>
      </c>
      <c r="K8">
        <v>777</v>
      </c>
      <c r="L8">
        <v>0</v>
      </c>
    </row>
    <row r="9" spans="1:12" x14ac:dyDescent="0.35">
      <c r="A9" s="46"/>
      <c r="B9">
        <v>1</v>
      </c>
      <c r="C9">
        <v>8</v>
      </c>
      <c r="D9">
        <v>1056</v>
      </c>
      <c r="E9">
        <v>1656</v>
      </c>
      <c r="F9">
        <v>0</v>
      </c>
      <c r="G9">
        <v>4527</v>
      </c>
      <c r="H9">
        <v>897</v>
      </c>
      <c r="I9">
        <v>2126</v>
      </c>
      <c r="J9">
        <v>0</v>
      </c>
      <c r="K9">
        <v>705</v>
      </c>
      <c r="L9">
        <v>0</v>
      </c>
    </row>
    <row r="10" spans="1:12" x14ac:dyDescent="0.35">
      <c r="A10" s="46"/>
      <c r="B10">
        <v>1</v>
      </c>
      <c r="C10">
        <v>9</v>
      </c>
      <c r="D10">
        <v>2380</v>
      </c>
      <c r="E10">
        <v>0</v>
      </c>
      <c r="F10">
        <v>1460</v>
      </c>
      <c r="G10">
        <v>3101</v>
      </c>
      <c r="H10">
        <v>0</v>
      </c>
      <c r="I10">
        <v>1075</v>
      </c>
      <c r="J10">
        <v>1228</v>
      </c>
      <c r="K10">
        <v>0</v>
      </c>
      <c r="L10">
        <v>0</v>
      </c>
    </row>
    <row r="11" spans="1:12" x14ac:dyDescent="0.35">
      <c r="A11" s="46"/>
      <c r="B11">
        <v>1</v>
      </c>
      <c r="C11">
        <v>10</v>
      </c>
      <c r="D11">
        <v>3137</v>
      </c>
      <c r="E11">
        <v>0</v>
      </c>
      <c r="F11">
        <v>607</v>
      </c>
      <c r="G11">
        <v>3070</v>
      </c>
      <c r="H11">
        <v>0</v>
      </c>
      <c r="I11">
        <v>814</v>
      </c>
      <c r="J11">
        <v>0</v>
      </c>
      <c r="K11">
        <v>0</v>
      </c>
      <c r="L11">
        <v>0</v>
      </c>
    </row>
    <row r="12" spans="1:12" x14ac:dyDescent="0.35">
      <c r="A12" s="46"/>
      <c r="B12">
        <v>1</v>
      </c>
      <c r="C12">
        <v>11</v>
      </c>
      <c r="D12">
        <v>3457</v>
      </c>
      <c r="E12">
        <v>1617</v>
      </c>
      <c r="F12">
        <v>622</v>
      </c>
      <c r="G12">
        <v>0</v>
      </c>
      <c r="H12">
        <v>2503</v>
      </c>
      <c r="I12">
        <v>1000</v>
      </c>
      <c r="J12">
        <v>0</v>
      </c>
      <c r="K12">
        <v>0</v>
      </c>
      <c r="L12">
        <v>0</v>
      </c>
    </row>
    <row r="13" spans="1:12" x14ac:dyDescent="0.35">
      <c r="A13" s="46"/>
      <c r="B13">
        <v>2</v>
      </c>
      <c r="C13">
        <v>12</v>
      </c>
      <c r="D13">
        <v>0</v>
      </c>
      <c r="E13">
        <v>848</v>
      </c>
      <c r="F13">
        <v>668</v>
      </c>
      <c r="G13">
        <v>0</v>
      </c>
      <c r="H13">
        <v>1831</v>
      </c>
      <c r="I13">
        <v>3694</v>
      </c>
      <c r="J13">
        <v>1636</v>
      </c>
      <c r="K13">
        <v>2002</v>
      </c>
      <c r="L13">
        <v>0</v>
      </c>
    </row>
    <row r="14" spans="1:12" x14ac:dyDescent="0.35">
      <c r="A14" s="46"/>
      <c r="B14">
        <v>2</v>
      </c>
      <c r="C14">
        <v>13</v>
      </c>
      <c r="D14">
        <v>0</v>
      </c>
      <c r="E14">
        <v>4393</v>
      </c>
      <c r="F14">
        <v>742</v>
      </c>
      <c r="G14">
        <v>5787</v>
      </c>
      <c r="H14">
        <v>1256</v>
      </c>
      <c r="I14">
        <v>0</v>
      </c>
      <c r="J14">
        <v>3221</v>
      </c>
      <c r="K14">
        <v>578</v>
      </c>
      <c r="L14">
        <v>0</v>
      </c>
    </row>
    <row r="15" spans="1:12" x14ac:dyDescent="0.35">
      <c r="A15" s="46"/>
      <c r="B15">
        <v>2</v>
      </c>
      <c r="C15">
        <v>14</v>
      </c>
      <c r="D15">
        <v>2577</v>
      </c>
      <c r="E15">
        <v>3923</v>
      </c>
      <c r="F15">
        <v>0</v>
      </c>
      <c r="G15">
        <v>3706</v>
      </c>
      <c r="H15">
        <v>1624</v>
      </c>
      <c r="I15">
        <v>0</v>
      </c>
      <c r="J15">
        <v>532</v>
      </c>
      <c r="K15">
        <v>682</v>
      </c>
      <c r="L15">
        <v>0</v>
      </c>
    </row>
    <row r="16" spans="1:12" x14ac:dyDescent="0.35">
      <c r="A16" s="46"/>
      <c r="B16">
        <v>2</v>
      </c>
      <c r="C16">
        <v>15</v>
      </c>
      <c r="D16">
        <v>3492</v>
      </c>
      <c r="E16">
        <v>823</v>
      </c>
      <c r="F16">
        <v>0</v>
      </c>
      <c r="G16">
        <v>1493</v>
      </c>
      <c r="H16">
        <v>3608</v>
      </c>
      <c r="I16">
        <v>5721</v>
      </c>
      <c r="J16">
        <v>3179</v>
      </c>
      <c r="K16">
        <v>3175</v>
      </c>
      <c r="L16">
        <v>0</v>
      </c>
    </row>
    <row r="17" spans="1:12" x14ac:dyDescent="0.35">
      <c r="A17" s="46"/>
      <c r="B17">
        <v>2</v>
      </c>
      <c r="C17">
        <v>16</v>
      </c>
      <c r="D17">
        <v>3532</v>
      </c>
      <c r="E17">
        <v>0</v>
      </c>
      <c r="F17">
        <v>1755</v>
      </c>
      <c r="G17">
        <v>1227</v>
      </c>
      <c r="H17">
        <v>0</v>
      </c>
      <c r="I17">
        <v>3196</v>
      </c>
      <c r="J17">
        <v>3215</v>
      </c>
      <c r="K17">
        <v>0</v>
      </c>
      <c r="L17">
        <v>5599</v>
      </c>
    </row>
    <row r="18" spans="1:12" x14ac:dyDescent="0.35">
      <c r="A18" s="46"/>
      <c r="B18">
        <v>2</v>
      </c>
      <c r="C18">
        <v>17</v>
      </c>
      <c r="D18">
        <v>0</v>
      </c>
      <c r="E18">
        <v>0</v>
      </c>
      <c r="F18">
        <v>656</v>
      </c>
      <c r="G18">
        <v>1232</v>
      </c>
      <c r="H18">
        <v>0</v>
      </c>
      <c r="I18">
        <v>1309</v>
      </c>
      <c r="J18">
        <v>0</v>
      </c>
      <c r="K18">
        <v>0</v>
      </c>
      <c r="L18">
        <v>3938</v>
      </c>
    </row>
    <row r="19" spans="1:12" x14ac:dyDescent="0.35">
      <c r="A19" s="46"/>
      <c r="B19">
        <v>2</v>
      </c>
      <c r="C19">
        <v>18</v>
      </c>
      <c r="D19">
        <v>4097</v>
      </c>
      <c r="E19">
        <v>6971</v>
      </c>
      <c r="F19">
        <v>1048</v>
      </c>
      <c r="G19">
        <v>0</v>
      </c>
      <c r="H19">
        <v>5102</v>
      </c>
      <c r="I19">
        <v>1060</v>
      </c>
      <c r="J19">
        <v>0</v>
      </c>
      <c r="K19">
        <v>4107</v>
      </c>
      <c r="L19">
        <v>761</v>
      </c>
    </row>
    <row r="20" spans="1:12" x14ac:dyDescent="0.35">
      <c r="A20" s="46"/>
      <c r="B20">
        <v>2</v>
      </c>
      <c r="C20">
        <v>19</v>
      </c>
      <c r="D20">
        <v>0</v>
      </c>
      <c r="E20">
        <v>2772</v>
      </c>
      <c r="F20">
        <v>573</v>
      </c>
      <c r="G20">
        <v>0</v>
      </c>
      <c r="H20">
        <v>3426</v>
      </c>
      <c r="I20">
        <v>826</v>
      </c>
      <c r="J20">
        <v>4456</v>
      </c>
      <c r="K20">
        <v>689</v>
      </c>
      <c r="L20">
        <v>833</v>
      </c>
    </row>
    <row r="21" spans="1:12" x14ac:dyDescent="0.35">
      <c r="A21" s="46"/>
      <c r="B21">
        <v>2</v>
      </c>
      <c r="C21">
        <v>20</v>
      </c>
      <c r="D21">
        <v>0</v>
      </c>
      <c r="E21">
        <v>5599</v>
      </c>
      <c r="F21">
        <v>552</v>
      </c>
      <c r="G21">
        <v>3568</v>
      </c>
      <c r="H21">
        <v>3358</v>
      </c>
      <c r="I21">
        <v>0</v>
      </c>
      <c r="J21">
        <v>653</v>
      </c>
      <c r="K21">
        <v>5602</v>
      </c>
      <c r="L21">
        <v>0</v>
      </c>
    </row>
    <row r="22" spans="1:12" x14ac:dyDescent="0.35">
      <c r="A22" s="46"/>
      <c r="B22">
        <v>2</v>
      </c>
      <c r="C22">
        <v>21</v>
      </c>
      <c r="D22">
        <v>1489</v>
      </c>
      <c r="E22">
        <v>548</v>
      </c>
      <c r="F22">
        <v>0</v>
      </c>
      <c r="G22">
        <v>2296</v>
      </c>
      <c r="H22">
        <v>686</v>
      </c>
      <c r="I22">
        <v>0</v>
      </c>
      <c r="J22">
        <v>772</v>
      </c>
      <c r="K22">
        <v>619</v>
      </c>
      <c r="L22">
        <v>0</v>
      </c>
    </row>
    <row r="23" spans="1:12" x14ac:dyDescent="0.35">
      <c r="A23" s="46"/>
      <c r="B23">
        <v>3</v>
      </c>
      <c r="C23">
        <v>22</v>
      </c>
      <c r="D23">
        <v>597</v>
      </c>
      <c r="E23">
        <v>3512</v>
      </c>
      <c r="F23">
        <v>0</v>
      </c>
      <c r="G23">
        <v>1052</v>
      </c>
      <c r="H23">
        <v>931</v>
      </c>
      <c r="I23">
        <v>2146</v>
      </c>
      <c r="J23">
        <v>817</v>
      </c>
      <c r="K23">
        <v>1063</v>
      </c>
      <c r="L23">
        <v>1750</v>
      </c>
    </row>
    <row r="24" spans="1:12" x14ac:dyDescent="0.35">
      <c r="A24" s="46"/>
      <c r="B24">
        <v>3</v>
      </c>
      <c r="C24">
        <v>23</v>
      </c>
      <c r="D24">
        <v>790</v>
      </c>
      <c r="E24">
        <v>0</v>
      </c>
      <c r="F24">
        <v>1378</v>
      </c>
      <c r="G24">
        <v>1921</v>
      </c>
      <c r="H24">
        <v>0</v>
      </c>
      <c r="I24">
        <v>3324</v>
      </c>
      <c r="J24">
        <v>877</v>
      </c>
      <c r="K24">
        <v>0</v>
      </c>
      <c r="L24">
        <v>744</v>
      </c>
    </row>
    <row r="25" spans="1:12" x14ac:dyDescent="0.35">
      <c r="A25" s="46"/>
      <c r="B25">
        <v>3</v>
      </c>
      <c r="C25">
        <v>24</v>
      </c>
      <c r="D25">
        <v>655</v>
      </c>
      <c r="E25">
        <v>0</v>
      </c>
      <c r="F25">
        <v>595</v>
      </c>
      <c r="G25">
        <v>3915</v>
      </c>
      <c r="H25">
        <v>0</v>
      </c>
      <c r="I25">
        <v>3329</v>
      </c>
      <c r="J25">
        <v>0</v>
      </c>
      <c r="K25">
        <v>0</v>
      </c>
      <c r="L25">
        <v>781</v>
      </c>
    </row>
    <row r="26" spans="1:12" x14ac:dyDescent="0.35">
      <c r="A26" s="46"/>
      <c r="B26">
        <v>3</v>
      </c>
      <c r="C26">
        <v>25</v>
      </c>
      <c r="D26">
        <v>804</v>
      </c>
      <c r="E26">
        <v>4531</v>
      </c>
      <c r="F26">
        <v>4270</v>
      </c>
      <c r="G26">
        <v>0</v>
      </c>
      <c r="H26">
        <v>0</v>
      </c>
      <c r="I26">
        <v>3091</v>
      </c>
      <c r="J26">
        <v>0</v>
      </c>
      <c r="K26">
        <v>1921</v>
      </c>
      <c r="L26">
        <v>948</v>
      </c>
    </row>
    <row r="27" spans="1:12" x14ac:dyDescent="0.35">
      <c r="A27" s="46"/>
      <c r="B27">
        <v>3</v>
      </c>
      <c r="C27">
        <v>26</v>
      </c>
      <c r="D27">
        <v>0</v>
      </c>
      <c r="E27">
        <v>1035</v>
      </c>
      <c r="F27">
        <v>937</v>
      </c>
      <c r="G27">
        <v>0</v>
      </c>
      <c r="H27">
        <v>2091</v>
      </c>
      <c r="I27">
        <v>2724</v>
      </c>
      <c r="J27">
        <v>2069</v>
      </c>
      <c r="K27">
        <v>1056</v>
      </c>
      <c r="L27">
        <v>1470</v>
      </c>
    </row>
    <row r="28" spans="1:12" x14ac:dyDescent="0.35">
      <c r="A28" s="46"/>
      <c r="B28">
        <v>3</v>
      </c>
      <c r="C28">
        <v>27</v>
      </c>
      <c r="D28">
        <v>0</v>
      </c>
      <c r="E28">
        <v>767</v>
      </c>
      <c r="F28">
        <v>932</v>
      </c>
      <c r="G28">
        <v>7294</v>
      </c>
      <c r="H28">
        <v>690</v>
      </c>
      <c r="I28">
        <v>0</v>
      </c>
      <c r="J28">
        <v>1118</v>
      </c>
      <c r="K28">
        <v>1100</v>
      </c>
      <c r="L28">
        <v>0</v>
      </c>
    </row>
    <row r="29" spans="1:12" x14ac:dyDescent="0.35">
      <c r="A29" s="46"/>
      <c r="B29">
        <v>3</v>
      </c>
      <c r="C29">
        <v>28</v>
      </c>
      <c r="D29">
        <v>5527</v>
      </c>
      <c r="E29">
        <v>0</v>
      </c>
      <c r="F29">
        <v>0</v>
      </c>
      <c r="G29">
        <v>1165</v>
      </c>
      <c r="H29">
        <v>3573</v>
      </c>
      <c r="I29">
        <v>0</v>
      </c>
      <c r="J29">
        <v>3426</v>
      </c>
      <c r="K29">
        <v>3501</v>
      </c>
      <c r="L29">
        <v>0</v>
      </c>
    </row>
    <row r="30" spans="1:12" x14ac:dyDescent="0.35">
      <c r="A30" s="46"/>
      <c r="B30">
        <v>3</v>
      </c>
      <c r="C30">
        <v>29</v>
      </c>
      <c r="D30">
        <v>4844</v>
      </c>
      <c r="E30">
        <v>1430</v>
      </c>
      <c r="F30">
        <v>0</v>
      </c>
      <c r="G30">
        <v>1126</v>
      </c>
      <c r="H30">
        <v>3857</v>
      </c>
      <c r="I30">
        <v>2286</v>
      </c>
      <c r="J30">
        <v>3581</v>
      </c>
      <c r="K30">
        <v>0</v>
      </c>
      <c r="L30">
        <v>2287</v>
      </c>
    </row>
    <row r="31" spans="1:12" x14ac:dyDescent="0.35">
      <c r="A31" s="46"/>
      <c r="B31">
        <v>3</v>
      </c>
      <c r="C31">
        <v>30</v>
      </c>
      <c r="D31">
        <v>3257</v>
      </c>
      <c r="E31">
        <v>0</v>
      </c>
      <c r="F31">
        <v>4656</v>
      </c>
      <c r="G31">
        <v>1383</v>
      </c>
      <c r="H31">
        <v>0</v>
      </c>
      <c r="I31">
        <v>984</v>
      </c>
      <c r="J31">
        <v>0</v>
      </c>
      <c r="K31">
        <v>0</v>
      </c>
      <c r="L31">
        <v>1017</v>
      </c>
    </row>
    <row r="32" spans="1:12" x14ac:dyDescent="0.35">
      <c r="A32" s="46"/>
      <c r="B32">
        <v>3</v>
      </c>
      <c r="C32">
        <v>31</v>
      </c>
      <c r="D32">
        <v>3215</v>
      </c>
      <c r="F32">
        <v>878</v>
      </c>
      <c r="G32">
        <v>0</v>
      </c>
      <c r="H32">
        <v>0</v>
      </c>
      <c r="I32">
        <v>3506</v>
      </c>
      <c r="J32">
        <v>0</v>
      </c>
      <c r="K32">
        <v>0</v>
      </c>
      <c r="L32">
        <v>0</v>
      </c>
    </row>
    <row r="36" spans="3:12" x14ac:dyDescent="0.35">
      <c r="D36" s="47">
        <v>45139</v>
      </c>
      <c r="E36" s="47">
        <v>45170</v>
      </c>
      <c r="F36" s="47">
        <v>45200</v>
      </c>
      <c r="G36" s="47">
        <v>45231</v>
      </c>
      <c r="H36" s="47">
        <v>45261</v>
      </c>
      <c r="I36" s="47">
        <v>45292</v>
      </c>
      <c r="J36" s="47">
        <v>45323</v>
      </c>
      <c r="K36" s="47">
        <v>45352</v>
      </c>
      <c r="L36" s="47">
        <v>45383</v>
      </c>
    </row>
    <row r="37" spans="3:12" x14ac:dyDescent="0.35">
      <c r="C37">
        <v>1</v>
      </c>
      <c r="D37" s="31">
        <f>D2/SUM(D$2:D$32)</f>
        <v>4.0713145290047895E-2</v>
      </c>
      <c r="E37" s="31">
        <f t="shared" ref="E37:L37" si="0">E2/SUM(E$2:E$32)</f>
        <v>6.2820439514361406E-2</v>
      </c>
      <c r="F37" s="31">
        <f t="shared" si="0"/>
        <v>0</v>
      </c>
      <c r="G37" s="31">
        <f t="shared" si="0"/>
        <v>6.4658945525553832E-2</v>
      </c>
      <c r="H37" s="31">
        <f t="shared" si="0"/>
        <v>2.7958957928061943E-2</v>
      </c>
      <c r="I37" s="31">
        <f t="shared" si="0"/>
        <v>4.1680068110869363E-2</v>
      </c>
      <c r="J37" s="31">
        <f t="shared" si="0"/>
        <v>8.1580847758058517E-2</v>
      </c>
      <c r="K37" s="31">
        <f t="shared" si="0"/>
        <v>8.800653976410136E-2</v>
      </c>
      <c r="L37" s="31">
        <f t="shared" si="0"/>
        <v>0.16725968981720402</v>
      </c>
    </row>
    <row r="38" spans="3:12" x14ac:dyDescent="0.35">
      <c r="C38">
        <v>2</v>
      </c>
      <c r="D38" s="31">
        <f t="shared" ref="D38:L38" si="1">D3/SUM(D$2:D$32)</f>
        <v>3.8717402873869079E-2</v>
      </c>
      <c r="E38" s="31">
        <f t="shared" si="1"/>
        <v>0</v>
      </c>
      <c r="F38" s="31">
        <f t="shared" si="1"/>
        <v>0.12072925298922695</v>
      </c>
      <c r="G38" s="31">
        <f t="shared" si="1"/>
        <v>1.2928422328462729E-2</v>
      </c>
      <c r="H38" s="31">
        <f t="shared" si="1"/>
        <v>0</v>
      </c>
      <c r="I38" s="31">
        <f t="shared" si="1"/>
        <v>6.4743165263456623E-2</v>
      </c>
      <c r="J38" s="31">
        <f t="shared" si="1"/>
        <v>8.1646497581898153E-2</v>
      </c>
      <c r="K38" s="31">
        <f t="shared" si="1"/>
        <v>0</v>
      </c>
      <c r="L38" s="31">
        <f t="shared" si="1"/>
        <v>0.11592470869435315</v>
      </c>
    </row>
    <row r="39" spans="3:12" x14ac:dyDescent="0.35">
      <c r="C39">
        <v>3</v>
      </c>
      <c r="D39" s="31">
        <f t="shared" ref="D39:L39" si="2">D4/SUM(D$2:D$32)</f>
        <v>2.1287919105907396E-2</v>
      </c>
      <c r="E39" s="31">
        <f t="shared" si="2"/>
        <v>0</v>
      </c>
      <c r="F39" s="31">
        <f t="shared" si="2"/>
        <v>9.2790339765597252E-2</v>
      </c>
      <c r="G39" s="31">
        <f t="shared" si="2"/>
        <v>1.7052723722308261E-2</v>
      </c>
      <c r="H39" s="31">
        <f t="shared" si="2"/>
        <v>0</v>
      </c>
      <c r="I39" s="31">
        <f t="shared" si="2"/>
        <v>5.969160911928862E-2</v>
      </c>
      <c r="J39" s="31">
        <f t="shared" si="2"/>
        <v>0</v>
      </c>
      <c r="K39" s="31">
        <f t="shared" si="2"/>
        <v>0</v>
      </c>
      <c r="L39" s="31">
        <f t="shared" si="2"/>
        <v>0.12108536817231171</v>
      </c>
    </row>
    <row r="40" spans="3:12" x14ac:dyDescent="0.35">
      <c r="C40">
        <v>4</v>
      </c>
      <c r="D40" s="31">
        <f t="shared" ref="D40:L40" si="3">D5/SUM(D$2:D$32)</f>
        <v>1.6726222154641528E-2</v>
      </c>
      <c r="E40" s="31">
        <f t="shared" si="3"/>
        <v>8.1251072102464406E-2</v>
      </c>
      <c r="F40" s="31">
        <f t="shared" si="3"/>
        <v>8.6421214632413881E-2</v>
      </c>
      <c r="G40" s="31">
        <f t="shared" si="3"/>
        <v>0</v>
      </c>
      <c r="H40" s="31">
        <f t="shared" si="3"/>
        <v>9.6788343441278554E-2</v>
      </c>
      <c r="I40" s="31">
        <f t="shared" si="3"/>
        <v>1.8333175669283889E-2</v>
      </c>
      <c r="J40" s="31">
        <f t="shared" si="3"/>
        <v>0</v>
      </c>
      <c r="K40" s="31">
        <f t="shared" si="3"/>
        <v>0.11035851921055705</v>
      </c>
      <c r="L40" s="31">
        <f t="shared" si="3"/>
        <v>2.4119292718037862E-2</v>
      </c>
    </row>
    <row r="41" spans="3:12" x14ac:dyDescent="0.35">
      <c r="C41">
        <v>5</v>
      </c>
      <c r="D41" s="31">
        <f t="shared" ref="D41:L41" si="4">D6/SUM(D$2:D$32)</f>
        <v>0</v>
      </c>
      <c r="E41" s="31">
        <f t="shared" si="4"/>
        <v>6.1047896773209827E-2</v>
      </c>
      <c r="F41" s="31">
        <f t="shared" si="4"/>
        <v>8.6634308038356811E-2</v>
      </c>
      <c r="G41" s="31">
        <f t="shared" si="4"/>
        <v>0</v>
      </c>
      <c r="H41" s="31">
        <f t="shared" si="4"/>
        <v>6.7723233016744863E-2</v>
      </c>
      <c r="I41" s="31">
        <f t="shared" si="4"/>
        <v>1.6933118910226089E-2</v>
      </c>
      <c r="J41" s="31">
        <f t="shared" si="4"/>
        <v>0.1254349300829376</v>
      </c>
      <c r="K41" s="31">
        <f t="shared" si="4"/>
        <v>7.9738409435945345E-2</v>
      </c>
      <c r="L41" s="31">
        <f t="shared" si="4"/>
        <v>2.4906972322568378E-2</v>
      </c>
    </row>
    <row r="42" spans="3:12" x14ac:dyDescent="0.35">
      <c r="C42">
        <v>6</v>
      </c>
      <c r="D42" s="31">
        <f t="shared" ref="D42:L42" si="5">D7/SUM(D$2:D$32)</f>
        <v>0</v>
      </c>
      <c r="E42" s="31">
        <f t="shared" si="5"/>
        <v>1.2560275982998838E-2</v>
      </c>
      <c r="F42" s="31">
        <f t="shared" si="5"/>
        <v>8.4740144429975142E-2</v>
      </c>
      <c r="G42" s="31">
        <f t="shared" si="5"/>
        <v>2.6462864453572151E-2</v>
      </c>
      <c r="H42" s="31">
        <f t="shared" si="5"/>
        <v>6.5892359919136445E-2</v>
      </c>
      <c r="I42" s="31">
        <f t="shared" si="5"/>
        <v>0</v>
      </c>
      <c r="J42" s="31">
        <f t="shared" si="5"/>
        <v>1.9257281659627548E-2</v>
      </c>
      <c r="K42" s="31">
        <f t="shared" si="5"/>
        <v>7.779983650589746E-2</v>
      </c>
      <c r="L42" s="31">
        <f t="shared" si="5"/>
        <v>0</v>
      </c>
    </row>
    <row r="43" spans="3:12" x14ac:dyDescent="0.35">
      <c r="C43">
        <v>7</v>
      </c>
      <c r="D43" s="31">
        <f t="shared" ref="D43:L43" si="6">D8/SUM(D$2:D$32)</f>
        <v>2.9023796852429104E-2</v>
      </c>
      <c r="E43" s="31">
        <f t="shared" si="6"/>
        <v>1.1836011207044427E-2</v>
      </c>
      <c r="F43" s="31">
        <f t="shared" si="6"/>
        <v>0</v>
      </c>
      <c r="G43" s="31">
        <f t="shared" si="6"/>
        <v>7.3176890445087878E-2</v>
      </c>
      <c r="H43" s="31">
        <f t="shared" si="6"/>
        <v>6.5873288324369686E-2</v>
      </c>
      <c r="I43" s="31">
        <f t="shared" si="6"/>
        <v>0</v>
      </c>
      <c r="J43" s="31">
        <f t="shared" si="6"/>
        <v>1.8513250322778299E-2</v>
      </c>
      <c r="K43" s="31">
        <f t="shared" si="6"/>
        <v>1.8147845381291602E-2</v>
      </c>
      <c r="L43" s="31">
        <f t="shared" si="6"/>
        <v>0</v>
      </c>
    </row>
    <row r="44" spans="3:12" x14ac:dyDescent="0.35">
      <c r="C44">
        <v>8</v>
      </c>
      <c r="D44" s="31">
        <f t="shared" ref="D44:L44" si="7">D9/SUM(D$2:D$32)</f>
        <v>2.0071466585569832E-2</v>
      </c>
      <c r="E44" s="31">
        <f t="shared" si="7"/>
        <v>3.1562696552118477E-2</v>
      </c>
      <c r="F44" s="31">
        <f t="shared" si="7"/>
        <v>0</v>
      </c>
      <c r="G44" s="31">
        <f t="shared" si="7"/>
        <v>7.6206989428321326E-2</v>
      </c>
      <c r="H44" s="31">
        <f t="shared" si="7"/>
        <v>1.7107220505778693E-2</v>
      </c>
      <c r="I44" s="31">
        <f t="shared" si="7"/>
        <v>4.022325229401192E-2</v>
      </c>
      <c r="J44" s="31">
        <f t="shared" si="7"/>
        <v>0</v>
      </c>
      <c r="K44" s="31">
        <f t="shared" si="7"/>
        <v>1.6466191755225974E-2</v>
      </c>
      <c r="L44" s="31">
        <f t="shared" si="7"/>
        <v>0</v>
      </c>
    </row>
    <row r="45" spans="3:12" x14ac:dyDescent="0.35">
      <c r="C45">
        <v>9</v>
      </c>
      <c r="D45" s="31">
        <f t="shared" ref="D45:L45" si="8">D10/SUM(D$2:D$32)</f>
        <v>4.5236828100053222E-2</v>
      </c>
      <c r="E45" s="31">
        <f t="shared" si="8"/>
        <v>0</v>
      </c>
      <c r="F45" s="31">
        <f t="shared" si="8"/>
        <v>3.4568485852965548E-2</v>
      </c>
      <c r="G45" s="31">
        <f t="shared" si="8"/>
        <v>5.2201871927816307E-2</v>
      </c>
      <c r="H45" s="31">
        <f t="shared" si="8"/>
        <v>0</v>
      </c>
      <c r="I45" s="31">
        <f t="shared" si="8"/>
        <v>2.033866237820452E-2</v>
      </c>
      <c r="J45" s="31">
        <f t="shared" si="8"/>
        <v>2.6872661225025712E-2</v>
      </c>
      <c r="K45" s="31">
        <f t="shared" si="8"/>
        <v>0</v>
      </c>
      <c r="L45" s="31">
        <f t="shared" si="8"/>
        <v>0</v>
      </c>
    </row>
    <row r="46" spans="3:12" x14ac:dyDescent="0.35">
      <c r="C46">
        <v>10</v>
      </c>
      <c r="D46" s="31">
        <f t="shared" ref="D46:L46" si="9">D11/SUM(D$2:D$32)</f>
        <v>5.9625180567170991E-2</v>
      </c>
      <c r="E46" s="31">
        <f t="shared" si="9"/>
        <v>0</v>
      </c>
      <c r="F46" s="31">
        <f t="shared" si="9"/>
        <v>1.4371966378595951E-2</v>
      </c>
      <c r="G46" s="31">
        <f t="shared" si="9"/>
        <v>5.1680021547370544E-2</v>
      </c>
      <c r="H46" s="31">
        <f t="shared" si="9"/>
        <v>0</v>
      </c>
      <c r="I46" s="31">
        <f t="shared" si="9"/>
        <v>1.5400624349635796E-2</v>
      </c>
      <c r="J46" s="31">
        <f t="shared" si="9"/>
        <v>0</v>
      </c>
      <c r="K46" s="31">
        <f t="shared" si="9"/>
        <v>0</v>
      </c>
      <c r="L46" s="31">
        <f t="shared" si="9"/>
        <v>0</v>
      </c>
    </row>
    <row r="47" spans="3:12" x14ac:dyDescent="0.35">
      <c r="C47">
        <v>11</v>
      </c>
      <c r="D47" s="31">
        <f t="shared" ref="D47:L47" si="10">D12/SUM(D$2:D$32)</f>
        <v>6.570744316885882E-2</v>
      </c>
      <c r="E47" s="31">
        <f t="shared" si="10"/>
        <v>3.0819372176796842E-2</v>
      </c>
      <c r="F47" s="31">
        <f t="shared" si="10"/>
        <v>1.4727122055167515E-2</v>
      </c>
      <c r="G47" s="31">
        <f t="shared" si="10"/>
        <v>0</v>
      </c>
      <c r="H47" s="31">
        <f t="shared" si="10"/>
        <v>4.7736201701186254E-2</v>
      </c>
      <c r="I47" s="31">
        <f t="shared" si="10"/>
        <v>1.8919685933213509E-2</v>
      </c>
      <c r="J47" s="31">
        <f t="shared" si="10"/>
        <v>0</v>
      </c>
      <c r="K47" s="31">
        <f t="shared" si="10"/>
        <v>0</v>
      </c>
      <c r="L47" s="31">
        <f t="shared" si="10"/>
        <v>0</v>
      </c>
    </row>
    <row r="48" spans="3:12" x14ac:dyDescent="0.35">
      <c r="C48">
        <v>12</v>
      </c>
      <c r="D48" s="31">
        <f t="shared" ref="D48:L48" si="11">D13/SUM(D$2:D$32)</f>
        <v>0</v>
      </c>
      <c r="E48" s="31">
        <f t="shared" si="11"/>
        <v>1.6162540263403663E-2</v>
      </c>
      <c r="F48" s="31">
        <f t="shared" si="11"/>
        <v>1.5816266129986978E-2</v>
      </c>
      <c r="G48" s="31">
        <f t="shared" si="11"/>
        <v>0</v>
      </c>
      <c r="H48" s="31">
        <f t="shared" si="11"/>
        <v>3.4920090017927299E-2</v>
      </c>
      <c r="I48" s="31">
        <f t="shared" si="11"/>
        <v>6.98893198372907E-2</v>
      </c>
      <c r="J48" s="31">
        <f t="shared" si="11"/>
        <v>3.5801037267216666E-2</v>
      </c>
      <c r="K48" s="31">
        <f t="shared" si="11"/>
        <v>4.6759313324769354E-2</v>
      </c>
      <c r="L48" s="31">
        <f t="shared" si="11"/>
        <v>0</v>
      </c>
    </row>
    <row r="49" spans="3:12" x14ac:dyDescent="0.35">
      <c r="C49">
        <v>13</v>
      </c>
      <c r="D49" s="31">
        <f t="shared" ref="D49:L49" si="12">D14/SUM(D$2:D$32)</f>
        <v>0</v>
      </c>
      <c r="E49" s="31">
        <f t="shared" si="12"/>
        <v>8.3728820020203182E-2</v>
      </c>
      <c r="F49" s="31">
        <f t="shared" si="12"/>
        <v>1.7568367467740025E-2</v>
      </c>
      <c r="G49" s="31">
        <f t="shared" si="12"/>
        <v>9.7417682310955489E-2</v>
      </c>
      <c r="H49" s="31">
        <f t="shared" si="12"/>
        <v>2.3953923027043522E-2</v>
      </c>
      <c r="I49" s="31">
        <f t="shared" si="12"/>
        <v>0</v>
      </c>
      <c r="J49" s="31">
        <f t="shared" si="12"/>
        <v>7.0486027529159459E-2</v>
      </c>
      <c r="K49" s="31">
        <f t="shared" si="12"/>
        <v>1.3499941609249095E-2</v>
      </c>
      <c r="L49" s="31">
        <f t="shared" si="12"/>
        <v>0</v>
      </c>
    </row>
    <row r="50" spans="3:12" x14ac:dyDescent="0.35">
      <c r="C50">
        <v>14</v>
      </c>
      <c r="D50" s="31">
        <f t="shared" ref="D50:L50" si="13">D15/SUM(D$2:D$32)</f>
        <v>4.8981221014217285E-2</v>
      </c>
      <c r="E50" s="31">
        <f t="shared" si="13"/>
        <v>7.4770808317609169E-2</v>
      </c>
      <c r="F50" s="31">
        <f t="shared" si="13"/>
        <v>0</v>
      </c>
      <c r="G50" s="31">
        <f t="shared" si="13"/>
        <v>6.2386371288128746E-2</v>
      </c>
      <c r="H50" s="31">
        <f t="shared" si="13"/>
        <v>3.0972269901209139E-2</v>
      </c>
      <c r="I50" s="31">
        <f t="shared" si="13"/>
        <v>0</v>
      </c>
      <c r="J50" s="31">
        <f t="shared" si="13"/>
        <v>1.164190209422938E-2</v>
      </c>
      <c r="K50" s="31">
        <f t="shared" si="13"/>
        <v>1.5928996846899451E-2</v>
      </c>
      <c r="L50" s="31">
        <f t="shared" si="13"/>
        <v>0</v>
      </c>
    </row>
    <row r="51" spans="3:12" x14ac:dyDescent="0.35">
      <c r="C51">
        <v>15</v>
      </c>
      <c r="D51" s="31">
        <f t="shared" ref="D51:L51" si="14">D16/SUM(D$2:D$32)</f>
        <v>6.6372690640918428E-2</v>
      </c>
      <c r="E51" s="31">
        <f t="shared" si="14"/>
        <v>1.5686050279223131E-2</v>
      </c>
      <c r="F51" s="31">
        <f t="shared" si="14"/>
        <v>0</v>
      </c>
      <c r="G51" s="31">
        <f t="shared" si="14"/>
        <v>2.5132987677597467E-2</v>
      </c>
      <c r="H51" s="31">
        <f t="shared" si="14"/>
        <v>6.8810313918449856E-2</v>
      </c>
      <c r="I51" s="31">
        <f t="shared" si="14"/>
        <v>0.10823952322391449</v>
      </c>
      <c r="J51" s="31">
        <f t="shared" si="14"/>
        <v>6.9566929995404508E-2</v>
      </c>
      <c r="K51" s="31">
        <f t="shared" si="14"/>
        <v>7.4156253649421938E-2</v>
      </c>
      <c r="L51" s="31">
        <f t="shared" si="14"/>
        <v>0</v>
      </c>
    </row>
    <row r="52" spans="3:12" x14ac:dyDescent="0.35">
      <c r="C52">
        <v>16</v>
      </c>
      <c r="D52" s="31">
        <f t="shared" ref="D52:L52" si="15">D17/SUM(D$2:D$32)</f>
        <v>6.7132973466129398E-2</v>
      </c>
      <c r="E52" s="31">
        <f t="shared" si="15"/>
        <v>0</v>
      </c>
      <c r="F52" s="31">
        <f t="shared" si="15"/>
        <v>4.1553214158872975E-2</v>
      </c>
      <c r="G52" s="31">
        <f t="shared" si="15"/>
        <v>2.0655174735708035E-2</v>
      </c>
      <c r="H52" s="31">
        <f t="shared" si="15"/>
        <v>0</v>
      </c>
      <c r="I52" s="31">
        <f t="shared" si="15"/>
        <v>6.0467316242550376E-2</v>
      </c>
      <c r="J52" s="31">
        <f t="shared" si="15"/>
        <v>7.0354727881480186E-2</v>
      </c>
      <c r="K52" s="31">
        <f t="shared" si="15"/>
        <v>0</v>
      </c>
      <c r="L52" s="31">
        <f t="shared" si="15"/>
        <v>0.15207648640573648</v>
      </c>
    </row>
    <row r="53" spans="3:12" x14ac:dyDescent="0.35">
      <c r="C53">
        <v>17</v>
      </c>
      <c r="D53" s="31">
        <f t="shared" ref="D53:L53" si="16">D18/SUM(D$2:D$32)</f>
        <v>0</v>
      </c>
      <c r="E53" s="31">
        <f t="shared" si="16"/>
        <v>0</v>
      </c>
      <c r="F53" s="31">
        <f t="shared" si="16"/>
        <v>1.5532141588729726E-2</v>
      </c>
      <c r="G53" s="31">
        <f t="shared" si="16"/>
        <v>2.0739344151908961E-2</v>
      </c>
      <c r="H53" s="31">
        <f t="shared" si="16"/>
        <v>0</v>
      </c>
      <c r="I53" s="31">
        <f t="shared" si="16"/>
        <v>2.4765868886576482E-2</v>
      </c>
      <c r="J53" s="31">
        <f t="shared" si="16"/>
        <v>0</v>
      </c>
      <c r="K53" s="31">
        <f t="shared" si="16"/>
        <v>0</v>
      </c>
      <c r="L53" s="31">
        <f t="shared" si="16"/>
        <v>0.10696145802210935</v>
      </c>
    </row>
    <row r="54" spans="3:12" x14ac:dyDescent="0.35">
      <c r="C54">
        <v>18</v>
      </c>
      <c r="D54" s="31">
        <f t="shared" ref="D54:L54" si="17">D19/SUM(D$2:D$32)</f>
        <v>7.7871968372234465E-2</v>
      </c>
      <c r="E54" s="31">
        <f t="shared" si="17"/>
        <v>0.13286446718889969</v>
      </c>
      <c r="F54" s="31">
        <f t="shared" si="17"/>
        <v>2.4813543269799929E-2</v>
      </c>
      <c r="G54" s="31">
        <f t="shared" si="17"/>
        <v>0</v>
      </c>
      <c r="H54" s="31">
        <f t="shared" si="17"/>
        <v>9.7303276499980926E-2</v>
      </c>
      <c r="I54" s="31">
        <f t="shared" si="17"/>
        <v>2.005486708920632E-2</v>
      </c>
      <c r="J54" s="31">
        <f t="shared" si="17"/>
        <v>0</v>
      </c>
      <c r="K54" s="31">
        <f t="shared" si="17"/>
        <v>9.592432558682705E-2</v>
      </c>
      <c r="L54" s="31">
        <f t="shared" si="17"/>
        <v>2.0669799277507672E-2</v>
      </c>
    </row>
    <row r="55" spans="3:12" x14ac:dyDescent="0.35">
      <c r="C55">
        <v>19</v>
      </c>
      <c r="D55" s="31">
        <f t="shared" ref="D55:L55" si="18">D20/SUM(D$2:D$32)</f>
        <v>0</v>
      </c>
      <c r="E55" s="31">
        <f t="shared" si="18"/>
        <v>5.2833209445937446E-2</v>
      </c>
      <c r="F55" s="31">
        <f t="shared" si="18"/>
        <v>1.3566946845033739E-2</v>
      </c>
      <c r="G55" s="31">
        <f t="shared" si="18"/>
        <v>0</v>
      </c>
      <c r="H55" s="31">
        <f t="shared" si="18"/>
        <v>6.5339283670900555E-2</v>
      </c>
      <c r="I55" s="31">
        <f t="shared" si="18"/>
        <v>1.5627660580834358E-2</v>
      </c>
      <c r="J55" s="31">
        <f t="shared" si="18"/>
        <v>9.7511871676477666E-2</v>
      </c>
      <c r="K55" s="31">
        <f t="shared" si="18"/>
        <v>1.6092490949433609E-2</v>
      </c>
      <c r="L55" s="31">
        <f t="shared" si="18"/>
        <v>2.262541760599723E-2</v>
      </c>
    </row>
    <row r="56" spans="3:12" x14ac:dyDescent="0.35">
      <c r="C56">
        <v>20</v>
      </c>
      <c r="D56" s="31">
        <f t="shared" ref="D56:L56" si="19">D21/SUM(D$2:D$32)</f>
        <v>0</v>
      </c>
      <c r="E56" s="31">
        <f t="shared" si="19"/>
        <v>0.10671469685707206</v>
      </c>
      <c r="F56" s="31">
        <f t="shared" si="19"/>
        <v>1.306972889783355E-2</v>
      </c>
      <c r="G56" s="31">
        <f t="shared" si="19"/>
        <v>6.0063295400983097E-2</v>
      </c>
      <c r="H56" s="31">
        <f t="shared" si="19"/>
        <v>6.4042415226761268E-2</v>
      </c>
      <c r="I56" s="31">
        <f t="shared" si="19"/>
        <v>0</v>
      </c>
      <c r="J56" s="31">
        <f t="shared" si="19"/>
        <v>1.4289778322428169E-2</v>
      </c>
      <c r="K56" s="31">
        <f t="shared" si="19"/>
        <v>0.13084199462805091</v>
      </c>
      <c r="L56" s="31">
        <f t="shared" si="19"/>
        <v>0</v>
      </c>
    </row>
    <row r="57" spans="3:12" x14ac:dyDescent="0.35">
      <c r="C57">
        <v>21</v>
      </c>
      <c r="D57" s="31">
        <f t="shared" ref="D57:L57" si="20">D22/SUM(D$2:D$32)</f>
        <v>2.8301528168478675E-2</v>
      </c>
      <c r="E57" s="31">
        <f t="shared" si="20"/>
        <v>1.0444660453237274E-2</v>
      </c>
      <c r="F57" s="31">
        <f t="shared" si="20"/>
        <v>0</v>
      </c>
      <c r="G57" s="31">
        <f t="shared" si="20"/>
        <v>3.86505959194667E-2</v>
      </c>
      <c r="H57" s="31">
        <f t="shared" si="20"/>
        <v>1.3083114009993516E-2</v>
      </c>
      <c r="I57" s="31">
        <f t="shared" si="20"/>
        <v>0</v>
      </c>
      <c r="J57" s="31">
        <f t="shared" si="20"/>
        <v>1.6893888001400528E-2</v>
      </c>
      <c r="K57" s="31">
        <f t="shared" si="20"/>
        <v>1.4457549924092023E-2</v>
      </c>
      <c r="L57" s="31">
        <f t="shared" si="20"/>
        <v>0</v>
      </c>
    </row>
    <row r="58" spans="3:12" x14ac:dyDescent="0.35">
      <c r="C58">
        <v>22</v>
      </c>
      <c r="D58" s="31">
        <f t="shared" ref="D58:L58" si="21">D23/SUM(D$2:D$32)</f>
        <v>1.1347221166273853E-2</v>
      </c>
      <c r="E58" s="31">
        <f t="shared" si="21"/>
        <v>6.6937312977681213E-2</v>
      </c>
      <c r="F58" s="31">
        <f t="shared" si="21"/>
        <v>0</v>
      </c>
      <c r="G58" s="31">
        <f t="shared" si="21"/>
        <v>1.770924516867551E-2</v>
      </c>
      <c r="H58" s="31">
        <f t="shared" si="21"/>
        <v>1.7755654727848343E-2</v>
      </c>
      <c r="I58" s="31">
        <f t="shared" si="21"/>
        <v>4.0601646012676192E-2</v>
      </c>
      <c r="J58" s="31">
        <f t="shared" si="21"/>
        <v>1.7878635358995119E-2</v>
      </c>
      <c r="K58" s="31">
        <f t="shared" si="21"/>
        <v>2.4827747284830084E-2</v>
      </c>
      <c r="L58" s="31">
        <f t="shared" si="21"/>
        <v>4.7532389928565608E-2</v>
      </c>
    </row>
    <row r="59" spans="3:12" x14ac:dyDescent="0.35">
      <c r="C59">
        <v>23</v>
      </c>
      <c r="D59" s="31">
        <f t="shared" ref="D59:L59" si="22">D24/SUM(D$2:D$32)</f>
        <v>1.5015585797916824E-2</v>
      </c>
      <c r="E59" s="31">
        <f t="shared" si="22"/>
        <v>0</v>
      </c>
      <c r="F59" s="31">
        <f t="shared" si="22"/>
        <v>3.2626968154374332E-2</v>
      </c>
      <c r="G59" s="31">
        <f t="shared" si="22"/>
        <v>3.2337889704397008E-2</v>
      </c>
      <c r="H59" s="31">
        <f t="shared" si="22"/>
        <v>0</v>
      </c>
      <c r="I59" s="31">
        <f t="shared" si="22"/>
        <v>6.2889036042001703E-2</v>
      </c>
      <c r="J59" s="31">
        <f t="shared" si="22"/>
        <v>1.9191631835787908E-2</v>
      </c>
      <c r="K59" s="31">
        <f t="shared" si="22"/>
        <v>0</v>
      </c>
      <c r="L59" s="31">
        <f t="shared" si="22"/>
        <v>2.020805606105875E-2</v>
      </c>
    </row>
    <row r="60" spans="3:12" x14ac:dyDescent="0.35">
      <c r="C60">
        <v>24</v>
      </c>
      <c r="D60" s="31">
        <f t="shared" ref="D60:L60" si="23">D25/SUM(D$2:D$32)</f>
        <v>1.2449631262829773E-2</v>
      </c>
      <c r="E60" s="31">
        <f t="shared" si="23"/>
        <v>0</v>
      </c>
      <c r="F60" s="31">
        <f t="shared" si="23"/>
        <v>1.40878418373387E-2</v>
      </c>
      <c r="G60" s="31">
        <f t="shared" si="23"/>
        <v>6.5904652885327583E-2</v>
      </c>
      <c r="H60" s="31">
        <f t="shared" si="23"/>
        <v>0</v>
      </c>
      <c r="I60" s="31">
        <f t="shared" si="23"/>
        <v>6.2983634471667771E-2</v>
      </c>
      <c r="J60" s="31">
        <f t="shared" si="23"/>
        <v>0</v>
      </c>
      <c r="K60" s="31">
        <f t="shared" si="23"/>
        <v>0</v>
      </c>
      <c r="L60" s="31">
        <f t="shared" si="23"/>
        <v>2.1213026590976996E-2</v>
      </c>
    </row>
    <row r="61" spans="3:12" x14ac:dyDescent="0.35">
      <c r="C61">
        <v>25</v>
      </c>
      <c r="D61" s="31">
        <f t="shared" ref="D61:L61" si="24">D26/SUM(D$2:D$32)</f>
        <v>1.5281684786740668E-2</v>
      </c>
      <c r="E61" s="31">
        <f t="shared" si="24"/>
        <v>8.6359044732879711E-2</v>
      </c>
      <c r="F61" s="31">
        <f t="shared" si="24"/>
        <v>0.10110098259737185</v>
      </c>
      <c r="G61" s="31">
        <f t="shared" si="24"/>
        <v>0</v>
      </c>
      <c r="H61" s="31">
        <f t="shared" si="24"/>
        <v>0</v>
      </c>
      <c r="I61" s="31">
        <f t="shared" si="24"/>
        <v>5.8480749219562957E-2</v>
      </c>
      <c r="J61" s="31">
        <f t="shared" si="24"/>
        <v>0</v>
      </c>
      <c r="K61" s="31">
        <f t="shared" si="24"/>
        <v>4.486745299544552E-2</v>
      </c>
      <c r="L61" s="31">
        <f t="shared" si="24"/>
        <v>2.5748974658445827E-2</v>
      </c>
    </row>
    <row r="62" spans="3:12" x14ac:dyDescent="0.35">
      <c r="C62">
        <v>26</v>
      </c>
      <c r="D62" s="31">
        <f t="shared" ref="D62:L62" si="25">D27/SUM(D$2:D$32)</f>
        <v>0</v>
      </c>
      <c r="E62" s="31">
        <f t="shared" si="25"/>
        <v>1.9726685345074046E-2</v>
      </c>
      <c r="F62" s="31">
        <f t="shared" si="25"/>
        <v>2.2185391263170356E-2</v>
      </c>
      <c r="G62" s="31">
        <f t="shared" si="25"/>
        <v>0</v>
      </c>
      <c r="H62" s="31">
        <f t="shared" si="25"/>
        <v>3.9878704657283444E-2</v>
      </c>
      <c r="I62" s="31">
        <f t="shared" si="25"/>
        <v>5.1537224482073596E-2</v>
      </c>
      <c r="J62" s="31">
        <f t="shared" si="25"/>
        <v>4.5276495174737946E-2</v>
      </c>
      <c r="K62" s="31">
        <f t="shared" si="25"/>
        <v>2.4664253182295925E-2</v>
      </c>
      <c r="L62" s="31">
        <f t="shared" si="25"/>
        <v>3.992720753999511E-2</v>
      </c>
    </row>
    <row r="63" spans="3:12" x14ac:dyDescent="0.35">
      <c r="C63">
        <v>27</v>
      </c>
      <c r="D63" s="31">
        <f t="shared" ref="D63:L63" si="26">D28/SUM(D$2:D$32)</f>
        <v>0</v>
      </c>
      <c r="E63" s="31">
        <f t="shared" si="26"/>
        <v>1.4618712714658737E-2</v>
      </c>
      <c r="F63" s="31">
        <f t="shared" si="26"/>
        <v>2.2067006037646501E-2</v>
      </c>
      <c r="G63" s="31">
        <f t="shared" si="26"/>
        <v>0.12278634435391556</v>
      </c>
      <c r="H63" s="31">
        <f t="shared" si="26"/>
        <v>1.3159400389060534E-2</v>
      </c>
      <c r="I63" s="31">
        <f t="shared" si="26"/>
        <v>0</v>
      </c>
      <c r="J63" s="31">
        <f t="shared" si="26"/>
        <v>2.4465501017572271E-2</v>
      </c>
      <c r="K63" s="31">
        <f t="shared" si="26"/>
        <v>2.569193039822492E-2</v>
      </c>
      <c r="L63" s="31">
        <f t="shared" si="26"/>
        <v>0</v>
      </c>
    </row>
    <row r="64" spans="3:12" x14ac:dyDescent="0.35">
      <c r="C64">
        <v>28</v>
      </c>
      <c r="D64" s="31">
        <f t="shared" ref="D64:L64" si="27">D29/SUM(D$2:D$32)</f>
        <v>0.10505207937352695</v>
      </c>
      <c r="E64" s="31">
        <f t="shared" si="27"/>
        <v>0</v>
      </c>
      <c r="F64" s="31">
        <f t="shared" si="27"/>
        <v>0</v>
      </c>
      <c r="G64" s="31">
        <f t="shared" si="27"/>
        <v>1.961147397481651E-2</v>
      </c>
      <c r="H64" s="31">
        <f t="shared" si="27"/>
        <v>6.8142808101613453E-2</v>
      </c>
      <c r="I64" s="31">
        <f t="shared" si="27"/>
        <v>0</v>
      </c>
      <c r="J64" s="31">
        <f t="shared" si="27"/>
        <v>7.4972098824868147E-2</v>
      </c>
      <c r="K64" s="31">
        <f t="shared" si="27"/>
        <v>8.1770407567441319E-2</v>
      </c>
      <c r="L64" s="31">
        <f t="shared" si="27"/>
        <v>0</v>
      </c>
    </row>
    <row r="65" spans="3:12" x14ac:dyDescent="0.35">
      <c r="C65">
        <v>29</v>
      </c>
      <c r="D65" s="31">
        <f t="shared" ref="D65:L65" si="28">D30/SUM(D$2:D$32)</f>
        <v>9.2070250133049494E-2</v>
      </c>
      <c r="E65" s="31">
        <f t="shared" si="28"/>
        <v>2.7255227095126459E-2</v>
      </c>
      <c r="F65" s="31">
        <f t="shared" si="28"/>
        <v>0</v>
      </c>
      <c r="G65" s="31">
        <f t="shared" si="28"/>
        <v>1.8954952528449264E-2</v>
      </c>
      <c r="H65" s="31">
        <f t="shared" si="28"/>
        <v>7.3559141015371698E-2</v>
      </c>
      <c r="I65" s="31">
        <f t="shared" si="28"/>
        <v>4.3250402043326079E-2</v>
      </c>
      <c r="J65" s="31">
        <f t="shared" si="28"/>
        <v>7.8364006389916183E-2</v>
      </c>
      <c r="K65" s="31">
        <f t="shared" si="28"/>
        <v>0</v>
      </c>
      <c r="L65" s="31">
        <f t="shared" si="28"/>
        <v>6.2118043295216883E-2</v>
      </c>
    </row>
    <row r="66" spans="3:12" x14ac:dyDescent="0.35">
      <c r="C66">
        <v>30</v>
      </c>
      <c r="D66" s="31">
        <f t="shared" ref="D66:L66" si="29">D31/SUM(D$2:D$32)</f>
        <v>6.1906029042803921E-2</v>
      </c>
      <c r="E66" s="31">
        <f t="shared" si="29"/>
        <v>0</v>
      </c>
      <c r="F66" s="31">
        <f t="shared" si="29"/>
        <v>0.11024032200781342</v>
      </c>
      <c r="G66" s="31">
        <f t="shared" si="29"/>
        <v>2.3281260521177027E-2</v>
      </c>
      <c r="H66" s="31">
        <f t="shared" si="29"/>
        <v>0</v>
      </c>
      <c r="I66" s="31">
        <f t="shared" si="29"/>
        <v>1.8616970958282093E-2</v>
      </c>
      <c r="J66" s="31">
        <f t="shared" si="29"/>
        <v>0</v>
      </c>
      <c r="K66" s="31">
        <f t="shared" si="29"/>
        <v>0</v>
      </c>
      <c r="L66" s="31">
        <f t="shared" si="29"/>
        <v>2.7623108889914986E-2</v>
      </c>
    </row>
    <row r="67" spans="3:12" x14ac:dyDescent="0.35">
      <c r="C67">
        <v>31</v>
      </c>
      <c r="D67" s="31">
        <f t="shared" ref="D67:L67" si="30">D32/SUM(D$2:D$32)</f>
        <v>6.1107732076332397E-2</v>
      </c>
      <c r="E67" s="31">
        <f t="shared" si="30"/>
        <v>0</v>
      </c>
      <c r="F67" s="31">
        <f t="shared" si="30"/>
        <v>2.0788445601988871E-2</v>
      </c>
      <c r="G67" s="31">
        <f t="shared" si="30"/>
        <v>0</v>
      </c>
      <c r="H67" s="31">
        <f t="shared" si="30"/>
        <v>0</v>
      </c>
      <c r="I67" s="31">
        <f t="shared" si="30"/>
        <v>6.6332418881846558E-2</v>
      </c>
      <c r="J67" s="31">
        <f t="shared" si="30"/>
        <v>0</v>
      </c>
      <c r="K67" s="31">
        <f t="shared" si="30"/>
        <v>0</v>
      </c>
      <c r="L67" s="31">
        <f t="shared" si="3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Exp Smoothing - Orange</vt:lpstr>
      <vt:lpstr>Exp Smoothing - Orange Opt</vt:lpstr>
      <vt:lpstr>Holt-Winters add</vt:lpstr>
      <vt:lpstr>Holt-Winters mlt</vt:lpstr>
      <vt:lpstr>ARIMA</vt:lpstr>
      <vt:lpstr>Summary</vt:lpstr>
      <vt:lpstr>one_third</vt:lpstr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ARIANTO PRADIPTA</dc:creator>
  <cp:lastModifiedBy>ALVIN ARIANTO PRADIPTA</cp:lastModifiedBy>
  <dcterms:created xsi:type="dcterms:W3CDTF">2024-05-25T04:23:00Z</dcterms:created>
  <dcterms:modified xsi:type="dcterms:W3CDTF">2024-05-28T11:19:47Z</dcterms:modified>
</cp:coreProperties>
</file>