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6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19.xml" ContentType="application/vnd.openxmlformats-officedocument.drawingml.chart+xml"/>
  <Override PartName="/xl/drawings/drawing17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20.xml" ContentType="application/vnd.openxmlformats-officedocument.drawingml.chart+xml"/>
  <Override PartName="/xl/drawings/drawing18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21.xml" ContentType="application/vnd.openxmlformats-officedocument.drawingml.chart+xml"/>
  <Override PartName="/xl/drawings/drawing19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22.xml" ContentType="application/vnd.openxmlformats-officedocument.drawingml.chart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drawings/drawing20.xml" ContentType="application/vnd.openxmlformats-officedocument.drawing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harts/chart23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060909\Documents\Task\CardStock Forecast\"/>
    </mc:Choice>
  </mc:AlternateContent>
  <xr:revisionPtr revIDLastSave="0" documentId="13_ncr:1_{641350D6-0224-4233-87C3-4BF0754C4C39}" xr6:coauthVersionLast="47" xr6:coauthVersionMax="47" xr10:uidLastSave="{00000000-0000-0000-0000-000000000000}"/>
  <bookViews>
    <workbookView xWindow="-110" yWindow="-110" windowWidth="19420" windowHeight="10420" tabRatio="767" firstSheet="16" activeTab="22" xr2:uid="{00000000-000D-0000-FFFF-FFFF00000000}"/>
  </bookViews>
  <sheets>
    <sheet name="Seasonal - Orange" sheetId="1" state="hidden" r:id="rId1"/>
    <sheet name="Seasonal - Blue VISA" sheetId="3" state="hidden" r:id="rId2"/>
    <sheet name="Seasonal - Blue GPN" sheetId="4" state="hidden" r:id="rId3"/>
    <sheet name="Seasonal - Green" sheetId="5" state="hidden" r:id="rId4"/>
    <sheet name="Seasonal - Purple" sheetId="6" state="hidden" r:id="rId5"/>
    <sheet name="Forecast" sheetId="2" state="hidden" r:id="rId6"/>
    <sheet name="Exp Smoothing - Orange" sheetId="8" r:id="rId7"/>
    <sheet name="Pivot" sheetId="24" r:id="rId8"/>
    <sheet name="SES_Q_0.7" sheetId="26" r:id="rId9"/>
    <sheet name="SES_Q_Opt" sheetId="27" r:id="rId10"/>
    <sheet name="Naive_S_Q" sheetId="28" r:id="rId11"/>
    <sheet name="HWES_A_Q" sheetId="30" r:id="rId12"/>
    <sheet name="HWES_M_Q" sheetId="31" r:id="rId13"/>
    <sheet name="MA" sheetId="32" r:id="rId14"/>
    <sheet name="Summary Q" sheetId="33" r:id="rId15"/>
    <sheet name="HWES_A_Q__" sheetId="29" r:id="rId16"/>
    <sheet name="Notes" sheetId="23" r:id="rId17"/>
    <sheet name="Exp Smoothing - Orange Opt @" sheetId="18" r:id="rId18"/>
    <sheet name="Holt-Winters add 18" sheetId="19" r:id="rId19"/>
    <sheet name="Holt-Winters mult 18" sheetId="20" r:id="rId20"/>
    <sheet name="ARIMA" sheetId="21" r:id="rId21"/>
    <sheet name="Opening" sheetId="22" r:id="rId22"/>
    <sheet name="Summary" sheetId="16" r:id="rId23"/>
    <sheet name="Exp Smoothing - Blue VISA" sheetId="9" r:id="rId24"/>
    <sheet name="Exp Smoothing - Blue GPN" sheetId="11" r:id="rId25"/>
    <sheet name="Exp Smoothing - Green" sheetId="7" r:id="rId26"/>
    <sheet name="Exp Smoothing - Purple" sheetId="10" r:id="rId27"/>
    <sheet name="Exp CC Mystic" sheetId="12" r:id="rId28"/>
    <sheet name="Exp CC Deep" sheetId="13" r:id="rId29"/>
    <sheet name="Exp CC Rain" sheetId="14" r:id="rId30"/>
    <sheet name="Exp Smoothing - Green Special" sheetId="15" r:id="rId31"/>
  </sheets>
  <externalReferences>
    <externalReference r:id="rId32"/>
    <externalReference r:id="rId33"/>
  </externalReferences>
  <definedNames>
    <definedName name="DataRange" localSheetId="11">#REF!</definedName>
    <definedName name="DataRange" localSheetId="12">#REF!</definedName>
    <definedName name="DataRange">#REF!</definedName>
    <definedName name="solver_adj" localSheetId="17" hidden="1">'Exp Smoothing - Orange Opt @'!$F$1</definedName>
    <definedName name="solver_adj" localSheetId="18" hidden="1">'Holt-Winters add 18'!$F$83:$H$83</definedName>
    <definedName name="solver_adj" localSheetId="19" hidden="1">'Holt-Winters mult 18'!$F$84:$H$84</definedName>
    <definedName name="solver_adj" localSheetId="11" hidden="1">HWES_A_Q!$F$32:$H$32</definedName>
    <definedName name="solver_adj" localSheetId="15" hidden="1">HWES_A_Q__!$F$37:$H$37</definedName>
    <definedName name="solver_adj" localSheetId="12" hidden="1">HWES_M_Q!$F$32:$H$32</definedName>
    <definedName name="solver_adj" localSheetId="13" hidden="1">MA!$I$1</definedName>
    <definedName name="solver_adj" localSheetId="10" hidden="1">Naive_S_Q!$H$2</definedName>
    <definedName name="solver_adj" localSheetId="9" hidden="1">SES_Q_Opt!$H$2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0" hidden="1">0.0001</definedName>
    <definedName name="solver_cvg" localSheetId="9" hidden="1">0.0001</definedName>
    <definedName name="solver_drv" localSheetId="17" hidden="1">2</definedName>
    <definedName name="solver_drv" localSheetId="18" hidden="1">2</definedName>
    <definedName name="solver_drv" localSheetId="19" hidden="1">2</definedName>
    <definedName name="solver_drv" localSheetId="11" hidden="1">2</definedName>
    <definedName name="solver_drv" localSheetId="12" hidden="1">2</definedName>
    <definedName name="solver_drv" localSheetId="13" hidden="1">1</definedName>
    <definedName name="solver_drv" localSheetId="10" hidden="1">1</definedName>
    <definedName name="solver_drv" localSheetId="9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11" hidden="1">1</definedName>
    <definedName name="solver_eng" localSheetId="15" hidden="1">1</definedName>
    <definedName name="solver_eng" localSheetId="12" hidden="1">1</definedName>
    <definedName name="solver_eng" localSheetId="13" hidden="1">1</definedName>
    <definedName name="solver_eng" localSheetId="10" hidden="1">1</definedName>
    <definedName name="solver_eng" localSheetId="9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0" hidden="1">1</definedName>
    <definedName name="solver_est" localSheetId="9" hidden="1">1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0" hidden="1">2147483647</definedName>
    <definedName name="solver_itr" localSheetId="9" hidden="1">2147483647</definedName>
    <definedName name="solver_lhs1" localSheetId="17" hidden="1">'Exp Smoothing - Orange Opt @'!$F$1</definedName>
    <definedName name="solver_lhs1" localSheetId="18" hidden="1">'Holt-Winters add 18'!$F$83:$H$83</definedName>
    <definedName name="solver_lhs1" localSheetId="19" hidden="1">'Holt-Winters mult 18'!$F$84:$H$84</definedName>
    <definedName name="solver_lhs1" localSheetId="11" hidden="1">HWES_A_Q!$F$32</definedName>
    <definedName name="solver_lhs1" localSheetId="15" hidden="1">HWES_A_Q__!$F$37</definedName>
    <definedName name="solver_lhs1" localSheetId="12" hidden="1">HWES_M_Q!$F$32</definedName>
    <definedName name="solver_lhs1" localSheetId="13" hidden="1">MA!$I$1</definedName>
    <definedName name="solver_lhs1" localSheetId="10" hidden="1">Naive_S_Q!$H$2</definedName>
    <definedName name="solver_lhs1" localSheetId="9" hidden="1">SES_Q_Opt!$H$2</definedName>
    <definedName name="solver_lhs2" localSheetId="17" hidden="1">'Exp Smoothing - Orange Opt @'!$F$1</definedName>
    <definedName name="solver_lhs2" localSheetId="18" hidden="1">'Holt-Winters add 18'!$F$83:$H$83</definedName>
    <definedName name="solver_lhs2" localSheetId="19" hidden="1">'Holt-Winters mult 18'!$F$84:$H$84</definedName>
    <definedName name="solver_lhs2" localSheetId="11" hidden="1">HWES_A_Q!$G$32</definedName>
    <definedName name="solver_lhs2" localSheetId="15" hidden="1">HWES_A_Q__!$G$37</definedName>
    <definedName name="solver_lhs2" localSheetId="12" hidden="1">HWES_M_Q!$G$32</definedName>
    <definedName name="solver_lhs2" localSheetId="13" hidden="1">MA!$I$1</definedName>
    <definedName name="solver_lhs2" localSheetId="10" hidden="1">Naive_S_Q!$H$2</definedName>
    <definedName name="solver_lhs2" localSheetId="9" hidden="1">SES_Q_Opt!$H$2</definedName>
    <definedName name="solver_lhs3" localSheetId="18" hidden="1">'Holt-Winters add 18'!$F$83:$H$83</definedName>
    <definedName name="solver_lhs3" localSheetId="19" hidden="1">'Holt-Winters mult 18'!$H$84</definedName>
    <definedName name="solver_lhs3" localSheetId="11" hidden="1">HWES_A_Q!$H$32</definedName>
    <definedName name="solver_lhs3" localSheetId="15" hidden="1">HWES_A_Q__!$H$37</definedName>
    <definedName name="solver_lhs3" localSheetId="12" hidden="1">HWES_M_Q!$H$32</definedName>
    <definedName name="solver_lhs4" localSheetId="18" hidden="1">'Holt-Winters add 18'!$G$83</definedName>
    <definedName name="solver_lhs5" localSheetId="18" hidden="1">'Holt-Winters add 18'!$H$83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0" hidden="1">2147483647</definedName>
    <definedName name="solver_mip" localSheetId="9" hidden="1">2147483647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0" hidden="1">30</definedName>
    <definedName name="solver_mni" localSheetId="9" hidden="1">30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0" hidden="1">0.075</definedName>
    <definedName name="solver_mrt" localSheetId="9" hidden="1">0.075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0" hidden="1">2</definedName>
    <definedName name="solver_msl" localSheetId="9" hidden="1">2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eg" localSheetId="11" hidden="1">1</definedName>
    <definedName name="solver_neg" localSheetId="15" hidden="1">1</definedName>
    <definedName name="solver_neg" localSheetId="12" hidden="1">1</definedName>
    <definedName name="solver_neg" localSheetId="13" hidden="1">1</definedName>
    <definedName name="solver_neg" localSheetId="10" hidden="1">1</definedName>
    <definedName name="solver_neg" localSheetId="9" hidden="1">1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0" hidden="1">2147483647</definedName>
    <definedName name="solver_nod" localSheetId="9" hidden="1">2147483647</definedName>
    <definedName name="solver_num" localSheetId="17" hidden="1">2</definedName>
    <definedName name="solver_num" localSheetId="18" hidden="1">2</definedName>
    <definedName name="solver_num" localSheetId="19" hidden="1">2</definedName>
    <definedName name="solver_num" localSheetId="11" hidden="1">3</definedName>
    <definedName name="solver_num" localSheetId="15" hidden="1">3</definedName>
    <definedName name="solver_num" localSheetId="12" hidden="1">3</definedName>
    <definedName name="solver_num" localSheetId="13" hidden="1">2</definedName>
    <definedName name="solver_num" localSheetId="10" hidden="1">2</definedName>
    <definedName name="solver_num" localSheetId="9" hidden="1">2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0" hidden="1">1</definedName>
    <definedName name="solver_nwt" localSheetId="9" hidden="1">1</definedName>
    <definedName name="solver_opt" localSheetId="17" hidden="1">'Exp Smoothing - Orange Opt @'!$F$31</definedName>
    <definedName name="solver_opt" localSheetId="18" hidden="1">'Holt-Winters add 18'!$J$83</definedName>
    <definedName name="solver_opt" localSheetId="19" hidden="1">'Holt-Winters mult 18'!$I$84</definedName>
    <definedName name="solver_opt" localSheetId="11" hidden="1">HWES_A_Q!$I$35</definedName>
    <definedName name="solver_opt" localSheetId="15" hidden="1">HWES_A_Q__!$J$37</definedName>
    <definedName name="solver_opt" localSheetId="12" hidden="1">HWES_M_Q!$I$35</definedName>
    <definedName name="solver_opt" localSheetId="13" hidden="1">MA!$I$30</definedName>
    <definedName name="solver_opt" localSheetId="10" hidden="1">Naive_S_Q!$I$30</definedName>
    <definedName name="solver_opt" localSheetId="9" hidden="1">SES_Q_Opt!$I$30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0" hidden="1">0.000001</definedName>
    <definedName name="solver_pre" localSheetId="9" hidden="1">0.000001</definedName>
    <definedName name="solver_rbv" localSheetId="17" hidden="1">2</definedName>
    <definedName name="solver_rbv" localSheetId="18" hidden="1">2</definedName>
    <definedName name="solver_rbv" localSheetId="19" hidden="1">2</definedName>
    <definedName name="solver_rbv" localSheetId="11" hidden="1">2</definedName>
    <definedName name="solver_rbv" localSheetId="12" hidden="1">2</definedName>
    <definedName name="solver_rbv" localSheetId="13" hidden="1">1</definedName>
    <definedName name="solver_rbv" localSheetId="10" hidden="1">1</definedName>
    <definedName name="solver_rbv" localSheetId="9" hidden="1">1</definedName>
    <definedName name="solver_rel1" localSheetId="17" hidden="1">1</definedName>
    <definedName name="solver_rel1" localSheetId="18" hidden="1">1</definedName>
    <definedName name="solver_rel1" localSheetId="19" hidden="1">1</definedName>
    <definedName name="solver_rel1" localSheetId="11" hidden="1">1</definedName>
    <definedName name="solver_rel1" localSheetId="15" hidden="1">1</definedName>
    <definedName name="solver_rel1" localSheetId="12" hidden="1">1</definedName>
    <definedName name="solver_rel1" localSheetId="13" hidden="1">1</definedName>
    <definedName name="solver_rel1" localSheetId="10" hidden="1">1</definedName>
    <definedName name="solver_rel1" localSheetId="9" hidden="1">1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11" hidden="1">1</definedName>
    <definedName name="solver_rel2" localSheetId="15" hidden="1">1</definedName>
    <definedName name="solver_rel2" localSheetId="12" hidden="1">1</definedName>
    <definedName name="solver_rel2" localSheetId="13" hidden="1">3</definedName>
    <definedName name="solver_rel2" localSheetId="10" hidden="1">3</definedName>
    <definedName name="solver_rel2" localSheetId="9" hidden="1">3</definedName>
    <definedName name="solver_rel3" localSheetId="18" hidden="1">3</definedName>
    <definedName name="solver_rel3" localSheetId="19" hidden="1">1</definedName>
    <definedName name="solver_rel3" localSheetId="11" hidden="1">1</definedName>
    <definedName name="solver_rel3" localSheetId="15" hidden="1">1</definedName>
    <definedName name="solver_rel3" localSheetId="12" hidden="1">1</definedName>
    <definedName name="solver_rel4" localSheetId="18" hidden="1">1</definedName>
    <definedName name="solver_rel5" localSheetId="18" hidden="1">1</definedName>
    <definedName name="solver_rhs1" localSheetId="17" hidden="1">1</definedName>
    <definedName name="solver_rhs1" localSheetId="18" hidden="1">1</definedName>
    <definedName name="solver_rhs1" localSheetId="19" hidden="1">1</definedName>
    <definedName name="solver_rhs1" localSheetId="11" hidden="1">1</definedName>
    <definedName name="solver_rhs1" localSheetId="15" hidden="1">1</definedName>
    <definedName name="solver_rhs1" localSheetId="12" hidden="1">1</definedName>
    <definedName name="solver_rhs1" localSheetId="13" hidden="1">9</definedName>
    <definedName name="solver_rhs1" localSheetId="10" hidden="1">1</definedName>
    <definedName name="solver_rhs1" localSheetId="9" hidden="1">1</definedName>
    <definedName name="solver_rhs2" localSheetId="17" hidden="1">0</definedName>
    <definedName name="solver_rhs2" localSheetId="18" hidden="1">0</definedName>
    <definedName name="solver_rhs2" localSheetId="19" hidden="1">0</definedName>
    <definedName name="solver_rhs2" localSheetId="11" hidden="1">1</definedName>
    <definedName name="solver_rhs2" localSheetId="15" hidden="1">1</definedName>
    <definedName name="solver_rhs2" localSheetId="12" hidden="1">1</definedName>
    <definedName name="solver_rhs2" localSheetId="13" hidden="1">1</definedName>
    <definedName name="solver_rhs2" localSheetId="10" hidden="1">0</definedName>
    <definedName name="solver_rhs2" localSheetId="9" hidden="1">0</definedName>
    <definedName name="solver_rhs3" localSheetId="18" hidden="1">0</definedName>
    <definedName name="solver_rhs3" localSheetId="19" hidden="1">1</definedName>
    <definedName name="solver_rhs3" localSheetId="11" hidden="1">1</definedName>
    <definedName name="solver_rhs3" localSheetId="15" hidden="1">1</definedName>
    <definedName name="solver_rhs3" localSheetId="12" hidden="1">1</definedName>
    <definedName name="solver_rhs4" localSheetId="18" hidden="1">1</definedName>
    <definedName name="solver_rhs5" localSheetId="18" hidden="1">1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0" hidden="1">2</definedName>
    <definedName name="solver_rlx" localSheetId="9" hidden="1">2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0" hidden="1">0</definedName>
    <definedName name="solver_rsd" localSheetId="9" hidden="1">0</definedName>
    <definedName name="solver_scl" localSheetId="17" hidden="1">2</definedName>
    <definedName name="solver_scl" localSheetId="18" hidden="1">2</definedName>
    <definedName name="solver_scl" localSheetId="19" hidden="1">2</definedName>
    <definedName name="solver_scl" localSheetId="11" hidden="1">2</definedName>
    <definedName name="solver_scl" localSheetId="12" hidden="1">2</definedName>
    <definedName name="solver_scl" localSheetId="13" hidden="1">1</definedName>
    <definedName name="solver_scl" localSheetId="10" hidden="1">1</definedName>
    <definedName name="solver_scl" localSheetId="9" hidden="1">1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0" hidden="1">2</definedName>
    <definedName name="solver_sho" localSheetId="9" hidden="1">2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0" hidden="1">100</definedName>
    <definedName name="solver_ssz" localSheetId="9" hidden="1">100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0" hidden="1">2147483647</definedName>
    <definedName name="solver_tim" localSheetId="9" hidden="1">2147483647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0" hidden="1">0.01</definedName>
    <definedName name="solver_tol" localSheetId="9" hidden="1">0.01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11" hidden="1">2</definedName>
    <definedName name="solver_typ" localSheetId="15" hidden="1">2</definedName>
    <definedName name="solver_typ" localSheetId="12" hidden="1">2</definedName>
    <definedName name="solver_typ" localSheetId="13" hidden="1">2</definedName>
    <definedName name="solver_typ" localSheetId="10" hidden="1">2</definedName>
    <definedName name="solver_typ" localSheetId="9" hidden="1">2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11" hidden="1">0</definedName>
    <definedName name="solver_val" localSheetId="15" hidden="1">0</definedName>
    <definedName name="solver_val" localSheetId="12" hidden="1">0</definedName>
    <definedName name="solver_val" localSheetId="13" hidden="1">0</definedName>
    <definedName name="solver_val" localSheetId="10" hidden="1">0</definedName>
    <definedName name="solver_val" localSheetId="9" hidden="1">0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11" hidden="1">3</definedName>
    <definedName name="solver_ver" localSheetId="15" hidden="1">3</definedName>
    <definedName name="solver_ver" localSheetId="12" hidden="1">3</definedName>
    <definedName name="solver_ver" localSheetId="13" hidden="1">3</definedName>
    <definedName name="solver_ver" localSheetId="10" hidden="1">3</definedName>
    <definedName name="solver_ver" localSheetId="9" hidden="1">3</definedName>
  </definedNames>
  <calcPr calcId="191029"/>
  <pivotCaches>
    <pivotCache cacheId="112" r:id="rId3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32" l="1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A32" i="32"/>
  <c r="A31" i="32"/>
  <c r="A30" i="32"/>
  <c r="A29" i="32"/>
  <c r="A28" i="32"/>
  <c r="A27" i="32"/>
  <c r="B32" i="32"/>
  <c r="B31" i="32"/>
  <c r="B30" i="32"/>
  <c r="B29" i="32"/>
  <c r="B28" i="32"/>
  <c r="B27" i="32"/>
  <c r="F29" i="26"/>
  <c r="F28" i="26"/>
  <c r="C82" i="18"/>
  <c r="C81" i="18"/>
  <c r="C80" i="18"/>
  <c r="F29" i="27"/>
  <c r="F28" i="27"/>
  <c r="D27" i="32"/>
  <c r="F6" i="33" l="1"/>
  <c r="E6" i="33"/>
  <c r="D6" i="33"/>
  <c r="C6" i="33"/>
  <c r="F5" i="33"/>
  <c r="E5" i="33"/>
  <c r="D5" i="33"/>
  <c r="C5" i="33"/>
  <c r="L36" i="31" a="1"/>
  <c r="L36" i="31" s="1"/>
  <c r="L35" i="31" a="1"/>
  <c r="L35" i="31" s="1"/>
  <c r="L36" i="30" a="1"/>
  <c r="L36" i="30" s="1"/>
  <c r="L35" i="30" a="1"/>
  <c r="L35" i="30" s="1"/>
  <c r="F4" i="33"/>
  <c r="E4" i="33"/>
  <c r="D4" i="33"/>
  <c r="C4" i="33"/>
  <c r="F3" i="33"/>
  <c r="E3" i="33"/>
  <c r="D3" i="33"/>
  <c r="C3" i="33"/>
  <c r="F4" i="32"/>
  <c r="F3" i="32"/>
  <c r="B3" i="32"/>
  <c r="A3" i="32" s="1"/>
  <c r="F2" i="32"/>
  <c r="D2" i="32"/>
  <c r="G2" i="32" s="1"/>
  <c r="D3" i="32"/>
  <c r="G3" i="32" l="1"/>
  <c r="B4" i="32"/>
  <c r="B5" i="32" l="1"/>
  <c r="A4" i="32"/>
  <c r="D4" i="32"/>
  <c r="G4" i="32" l="1"/>
  <c r="A5" i="32"/>
  <c r="B6" i="32"/>
  <c r="D5" i="32"/>
  <c r="G5" i="32" l="1"/>
  <c r="A6" i="32"/>
  <c r="B7" i="32"/>
  <c r="D6" i="32"/>
  <c r="G6" i="32" l="1"/>
  <c r="A7" i="32"/>
  <c r="B8" i="32"/>
  <c r="D7" i="32"/>
  <c r="G7" i="32" l="1"/>
  <c r="B9" i="32"/>
  <c r="A8" i="32"/>
  <c r="D8" i="32"/>
  <c r="G8" i="32" l="1"/>
  <c r="B10" i="32"/>
  <c r="A9" i="32"/>
  <c r="D9" i="32"/>
  <c r="G9" i="32" l="1"/>
  <c r="A10" i="32"/>
  <c r="B11" i="32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B24" i="32" s="1"/>
  <c r="B25" i="32" s="1"/>
  <c r="B26" i="32" s="1"/>
  <c r="D10" i="32"/>
  <c r="G10" i="32" l="1"/>
  <c r="A11" i="32"/>
  <c r="A12" i="32" s="1"/>
  <c r="F28" i="31"/>
  <c r="E28" i="31"/>
  <c r="F27" i="31"/>
  <c r="E27" i="31"/>
  <c r="F26" i="31"/>
  <c r="E26" i="31"/>
  <c r="F25" i="31"/>
  <c r="E25" i="31"/>
  <c r="F24" i="31"/>
  <c r="E24" i="31"/>
  <c r="F23" i="31"/>
  <c r="E23" i="31"/>
  <c r="F22" i="31"/>
  <c r="E22" i="31"/>
  <c r="F21" i="31"/>
  <c r="E21" i="31"/>
  <c r="F20" i="31"/>
  <c r="E20" i="31"/>
  <c r="F19" i="31"/>
  <c r="E19" i="31"/>
  <c r="F18" i="31"/>
  <c r="E18" i="31"/>
  <c r="F17" i="31"/>
  <c r="E17" i="31"/>
  <c r="F16" i="31"/>
  <c r="E16" i="31"/>
  <c r="F15" i="31"/>
  <c r="E15" i="31"/>
  <c r="F14" i="31"/>
  <c r="E14" i="31"/>
  <c r="F13" i="31"/>
  <c r="E13" i="31"/>
  <c r="F12" i="31"/>
  <c r="E12" i="31"/>
  <c r="F11" i="31"/>
  <c r="E11" i="31"/>
  <c r="F10" i="31"/>
  <c r="E10" i="31"/>
  <c r="F9" i="31"/>
  <c r="H7" i="31" s="1"/>
  <c r="E9" i="31"/>
  <c r="F8" i="31"/>
  <c r="E8" i="31"/>
  <c r="F7" i="31"/>
  <c r="E7" i="31"/>
  <c r="F6" i="31"/>
  <c r="I6" i="31" s="1"/>
  <c r="E6" i="31"/>
  <c r="F5" i="31"/>
  <c r="I5" i="31" s="1"/>
  <c r="E5" i="31"/>
  <c r="F4" i="31"/>
  <c r="I4" i="31" s="1"/>
  <c r="E4" i="31"/>
  <c r="F3" i="31"/>
  <c r="E3" i="31"/>
  <c r="F28" i="30"/>
  <c r="F27" i="30"/>
  <c r="F26" i="30"/>
  <c r="F25" i="30"/>
  <c r="F24" i="30"/>
  <c r="F23" i="30"/>
  <c r="F22" i="30"/>
  <c r="F21" i="30"/>
  <c r="F20" i="30"/>
  <c r="E20" i="30"/>
  <c r="E21" i="30"/>
  <c r="E22" i="30"/>
  <c r="E23" i="30"/>
  <c r="E24" i="30"/>
  <c r="E25" i="30"/>
  <c r="E26" i="30"/>
  <c r="E27" i="30"/>
  <c r="E28" i="30"/>
  <c r="F19" i="30"/>
  <c r="E19" i="30"/>
  <c r="F18" i="30"/>
  <c r="E18" i="30"/>
  <c r="F17" i="30"/>
  <c r="E17" i="30"/>
  <c r="F16" i="30"/>
  <c r="E16" i="30"/>
  <c r="F15" i="30"/>
  <c r="E15" i="30"/>
  <c r="F14" i="30"/>
  <c r="E14" i="30"/>
  <c r="F13" i="30"/>
  <c r="E13" i="30"/>
  <c r="F12" i="30"/>
  <c r="E12" i="30"/>
  <c r="F11" i="30"/>
  <c r="E11" i="30"/>
  <c r="F10" i="30"/>
  <c r="H7" i="30" s="1"/>
  <c r="E10" i="30"/>
  <c r="F9" i="30"/>
  <c r="E9" i="30"/>
  <c r="F8" i="30"/>
  <c r="E8" i="30"/>
  <c r="I7" i="30"/>
  <c r="G7" i="30" s="1"/>
  <c r="F7" i="30"/>
  <c r="E7" i="30"/>
  <c r="F6" i="30"/>
  <c r="E6" i="30"/>
  <c r="F5" i="30"/>
  <c r="E5" i="30"/>
  <c r="F4" i="30"/>
  <c r="I5" i="30" s="1"/>
  <c r="E4" i="30"/>
  <c r="F3" i="30"/>
  <c r="E3" i="30"/>
  <c r="D12" i="32"/>
  <c r="D11" i="32"/>
  <c r="G11" i="32" l="1"/>
  <c r="A13" i="32"/>
  <c r="I7" i="31"/>
  <c r="G7" i="31" s="1"/>
  <c r="I6" i="30"/>
  <c r="I4" i="30"/>
  <c r="G8" i="30" s="1"/>
  <c r="D13" i="32"/>
  <c r="A14" i="32" l="1"/>
  <c r="J8" i="31"/>
  <c r="G8" i="31"/>
  <c r="H8" i="31" s="1"/>
  <c r="J8" i="30"/>
  <c r="I8" i="30"/>
  <c r="H8" i="30"/>
  <c r="G9" i="30" s="1"/>
  <c r="D14" i="32"/>
  <c r="A15" i="32" l="1"/>
  <c r="I8" i="31"/>
  <c r="G9" i="31"/>
  <c r="H9" i="31" s="1"/>
  <c r="J10" i="31" s="1"/>
  <c r="J9" i="31"/>
  <c r="H9" i="30"/>
  <c r="J10" i="30" s="1"/>
  <c r="I9" i="30"/>
  <c r="J9" i="30"/>
  <c r="D15" i="32"/>
  <c r="A16" i="32" l="1"/>
  <c r="I9" i="31"/>
  <c r="G10" i="31"/>
  <c r="H10" i="31" s="1"/>
  <c r="J11" i="31" s="1"/>
  <c r="G10" i="30"/>
  <c r="H10" i="30" s="1"/>
  <c r="J11" i="30" s="1"/>
  <c r="D16" i="32"/>
  <c r="A17" i="32" l="1"/>
  <c r="I10" i="31"/>
  <c r="G11" i="31"/>
  <c r="I10" i="30"/>
  <c r="G11" i="30"/>
  <c r="H11" i="30" s="1"/>
  <c r="D17" i="32"/>
  <c r="A18" i="32" l="1"/>
  <c r="H11" i="31"/>
  <c r="J12" i="31" s="1"/>
  <c r="I11" i="31"/>
  <c r="J12" i="30"/>
  <c r="G12" i="30"/>
  <c r="I12" i="30" s="1"/>
  <c r="I11" i="30"/>
  <c r="D18" i="32"/>
  <c r="A19" i="32" l="1"/>
  <c r="G12" i="31"/>
  <c r="H12" i="31" s="1"/>
  <c r="J13" i="31" s="1"/>
  <c r="H12" i="30"/>
  <c r="G13" i="30" s="1"/>
  <c r="I13" i="30" s="1"/>
  <c r="D19" i="32"/>
  <c r="A20" i="32" l="1"/>
  <c r="I12" i="31"/>
  <c r="G13" i="31"/>
  <c r="I13" i="31" s="1"/>
  <c r="J13" i="30"/>
  <c r="H13" i="30"/>
  <c r="J14" i="30" s="1"/>
  <c r="D20" i="32"/>
  <c r="A21" i="32" l="1"/>
  <c r="H13" i="31"/>
  <c r="J14" i="31" s="1"/>
  <c r="G14" i="30"/>
  <c r="H14" i="30" s="1"/>
  <c r="D21" i="32"/>
  <c r="A22" i="32" l="1"/>
  <c r="G14" i="31"/>
  <c r="H14" i="31" s="1"/>
  <c r="J15" i="31" s="1"/>
  <c r="I14" i="30"/>
  <c r="J15" i="30"/>
  <c r="G15" i="30"/>
  <c r="D22" i="32"/>
  <c r="L30" i="32" l="1" a="1"/>
  <c r="L30" i="32" s="1"/>
  <c r="K30" i="32" a="1"/>
  <c r="K30" i="32" s="1"/>
  <c r="J30" i="32"/>
  <c r="I30" i="32" a="1"/>
  <c r="I30" i="32" s="1"/>
  <c r="J1" i="32" s="1"/>
  <c r="A23" i="32"/>
  <c r="I14" i="31"/>
  <c r="G15" i="31"/>
  <c r="I15" i="31" s="1"/>
  <c r="H15" i="30"/>
  <c r="J16" i="30" s="1"/>
  <c r="I15" i="30"/>
  <c r="D23" i="32"/>
  <c r="A24" i="32" l="1"/>
  <c r="H15" i="31"/>
  <c r="J16" i="31" s="1"/>
  <c r="G16" i="30"/>
  <c r="D24" i="32"/>
  <c r="A25" i="32" l="1"/>
  <c r="G16" i="31"/>
  <c r="H16" i="31" s="1"/>
  <c r="G17" i="31" s="1"/>
  <c r="H17" i="31" s="1"/>
  <c r="H16" i="30"/>
  <c r="I16" i="30"/>
  <c r="D25" i="32"/>
  <c r="A26" i="32" l="1"/>
  <c r="J17" i="31"/>
  <c r="I16" i="31"/>
  <c r="I17" i="31"/>
  <c r="J18" i="31"/>
  <c r="G18" i="31"/>
  <c r="I18" i="31" s="1"/>
  <c r="J17" i="30"/>
  <c r="G17" i="30"/>
  <c r="D26" i="32"/>
  <c r="J31" i="32" l="1"/>
  <c r="D7" i="33" s="1"/>
  <c r="I31" i="32" a="1"/>
  <c r="I31" i="32" s="1"/>
  <c r="C7" i="33" s="1"/>
  <c r="H7" i="33" s="1"/>
  <c r="K31" i="32" a="1"/>
  <c r="K31" i="32" s="1"/>
  <c r="E7" i="33" s="1"/>
  <c r="L31" i="32" a="1"/>
  <c r="L31" i="32" s="1"/>
  <c r="F7" i="33" s="1"/>
  <c r="H18" i="31"/>
  <c r="J19" i="31" s="1"/>
  <c r="H17" i="30"/>
  <c r="J18" i="30" s="1"/>
  <c r="I17" i="30"/>
  <c r="I3" i="33" l="1"/>
  <c r="I4" i="33"/>
  <c r="I5" i="33"/>
  <c r="I6" i="33"/>
  <c r="I7" i="33"/>
  <c r="H5" i="33"/>
  <c r="H6" i="33"/>
  <c r="H3" i="33"/>
  <c r="H4" i="33"/>
  <c r="G19" i="31"/>
  <c r="G18" i="30"/>
  <c r="I18" i="30" s="1"/>
  <c r="H19" i="31" l="1"/>
  <c r="J20" i="31" s="1"/>
  <c r="I19" i="31"/>
  <c r="H18" i="30"/>
  <c r="J19" i="30" s="1"/>
  <c r="G20" i="31" l="1"/>
  <c r="H20" i="31" s="1"/>
  <c r="J21" i="31" s="1"/>
  <c r="G19" i="30"/>
  <c r="I19" i="30" s="1"/>
  <c r="I20" i="31" l="1"/>
  <c r="G21" i="31"/>
  <c r="I21" i="31" s="1"/>
  <c r="H19" i="30"/>
  <c r="J20" i="30" s="1"/>
  <c r="H21" i="31" l="1"/>
  <c r="J22" i="31" s="1"/>
  <c r="G20" i="30"/>
  <c r="H20" i="30" s="1"/>
  <c r="J21" i="30" s="1"/>
  <c r="F30" i="29"/>
  <c r="F29" i="29"/>
  <c r="F28" i="29"/>
  <c r="F27" i="29"/>
  <c r="F26" i="29"/>
  <c r="F25" i="29"/>
  <c r="F24" i="29"/>
  <c r="F23" i="29"/>
  <c r="G23" i="29" s="1"/>
  <c r="H23" i="29" s="1"/>
  <c r="F22" i="29"/>
  <c r="G22" i="29" s="1"/>
  <c r="H22" i="29" s="1"/>
  <c r="F21" i="29"/>
  <c r="G21" i="29" s="1"/>
  <c r="H21" i="29" s="1"/>
  <c r="E22" i="29"/>
  <c r="E23" i="29"/>
  <c r="E24" i="29"/>
  <c r="E25" i="29"/>
  <c r="E26" i="29"/>
  <c r="E27" i="29"/>
  <c r="E28" i="29"/>
  <c r="E29" i="29"/>
  <c r="E30" i="29"/>
  <c r="E21" i="29"/>
  <c r="F20" i="29"/>
  <c r="E20" i="29"/>
  <c r="F19" i="29"/>
  <c r="E19" i="29"/>
  <c r="F18" i="29"/>
  <c r="E18" i="29"/>
  <c r="F17" i="29"/>
  <c r="E17" i="29"/>
  <c r="F16" i="29"/>
  <c r="E16" i="29"/>
  <c r="F15" i="29"/>
  <c r="E15" i="29"/>
  <c r="F14" i="29"/>
  <c r="E14" i="29"/>
  <c r="F13" i="29"/>
  <c r="E13" i="29"/>
  <c r="F12" i="29"/>
  <c r="E12" i="29"/>
  <c r="F11" i="29"/>
  <c r="E11" i="29"/>
  <c r="F10" i="29"/>
  <c r="E10" i="29"/>
  <c r="F9" i="29"/>
  <c r="E9" i="29"/>
  <c r="F8" i="29"/>
  <c r="E8" i="29"/>
  <c r="F7" i="29"/>
  <c r="E7" i="29"/>
  <c r="F6" i="29"/>
  <c r="I6" i="29" s="1"/>
  <c r="E6" i="29"/>
  <c r="F5" i="29"/>
  <c r="E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F8" i="28"/>
  <c r="F12" i="28" s="1"/>
  <c r="F16" i="28" s="1"/>
  <c r="F20" i="28" s="1"/>
  <c r="F24" i="28" s="1"/>
  <c r="F9" i="28"/>
  <c r="F13" i="28" s="1"/>
  <c r="F17" i="28" s="1"/>
  <c r="F21" i="28" s="1"/>
  <c r="F25" i="28" s="1"/>
  <c r="F10" i="28"/>
  <c r="F14" i="28" s="1"/>
  <c r="F18" i="28" s="1"/>
  <c r="F22" i="28" s="1"/>
  <c r="F26" i="28" s="1"/>
  <c r="F11" i="28"/>
  <c r="F15" i="28"/>
  <c r="F19" i="28" s="1"/>
  <c r="F23" i="28" s="1"/>
  <c r="F27" i="28" s="1"/>
  <c r="F7" i="28"/>
  <c r="F6" i="28"/>
  <c r="F5" i="28"/>
  <c r="F4" i="28"/>
  <c r="D27" i="28"/>
  <c r="B27" i="28"/>
  <c r="B23" i="28"/>
  <c r="B24" i="28" s="1"/>
  <c r="B20" i="28"/>
  <c r="D20" i="28" s="1"/>
  <c r="D19" i="28"/>
  <c r="B19" i="28"/>
  <c r="B15" i="28"/>
  <c r="B16" i="28" s="1"/>
  <c r="B12" i="28"/>
  <c r="B13" i="28" s="1"/>
  <c r="D11" i="28"/>
  <c r="B11" i="28"/>
  <c r="B7" i="28"/>
  <c r="B8" i="28" s="1"/>
  <c r="B4" i="28"/>
  <c r="B5" i="28" s="1"/>
  <c r="F3" i="28"/>
  <c r="D3" i="28"/>
  <c r="B3" i="28"/>
  <c r="D27" i="27"/>
  <c r="B27" i="27"/>
  <c r="B23" i="27"/>
  <c r="B24" i="27" s="1"/>
  <c r="B20" i="27"/>
  <c r="B21" i="27" s="1"/>
  <c r="D19" i="27"/>
  <c r="B19" i="27"/>
  <c r="B15" i="27"/>
  <c r="B16" i="27" s="1"/>
  <c r="B12" i="27"/>
  <c r="B13" i="27" s="1"/>
  <c r="D11" i="27"/>
  <c r="B11" i="27"/>
  <c r="B7" i="27"/>
  <c r="B8" i="27" s="1"/>
  <c r="B4" i="27"/>
  <c r="B5" i="27" s="1"/>
  <c r="F3" i="27"/>
  <c r="F4" i="27" s="1"/>
  <c r="F5" i="27" s="1"/>
  <c r="F6" i="27" s="1"/>
  <c r="F7" i="27" s="1"/>
  <c r="F8" i="27" s="1"/>
  <c r="F9" i="27" s="1"/>
  <c r="F10" i="27" s="1"/>
  <c r="F11" i="27" s="1"/>
  <c r="F12" i="27" s="1"/>
  <c r="F13" i="27" s="1"/>
  <c r="F14" i="27" s="1"/>
  <c r="F15" i="27" s="1"/>
  <c r="F16" i="27" s="1"/>
  <c r="F17" i="27" s="1"/>
  <c r="F18" i="27" s="1"/>
  <c r="F19" i="27" s="1"/>
  <c r="F20" i="27" s="1"/>
  <c r="D3" i="27"/>
  <c r="B3" i="27"/>
  <c r="L30" i="26" a="1"/>
  <c r="L30" i="26" s="1"/>
  <c r="K30" i="26" a="1"/>
  <c r="K30" i="26"/>
  <c r="J30" i="26"/>
  <c r="I30" i="26" a="1"/>
  <c r="I30" i="26" s="1"/>
  <c r="L31" i="26" a="1"/>
  <c r="L31" i="26" s="1"/>
  <c r="K31" i="26" a="1"/>
  <c r="K31" i="26" s="1"/>
  <c r="J31" i="26"/>
  <c r="I31" i="26" a="1"/>
  <c r="I31" i="26" s="1"/>
  <c r="B27" i="26"/>
  <c r="D27" i="26" s="1"/>
  <c r="B23" i="26"/>
  <c r="B24" i="26" s="1"/>
  <c r="B19" i="26"/>
  <c r="D19" i="26" s="1"/>
  <c r="B15" i="26"/>
  <c r="B16" i="26" s="1"/>
  <c r="B11" i="26"/>
  <c r="D11" i="26" s="1"/>
  <c r="B7" i="26"/>
  <c r="B8" i="26" s="1"/>
  <c r="F3" i="26"/>
  <c r="F4" i="26" s="1"/>
  <c r="F5" i="26" s="1"/>
  <c r="F6" i="26" s="1"/>
  <c r="F7" i="26" s="1"/>
  <c r="F8" i="26" s="1"/>
  <c r="F9" i="26" s="1"/>
  <c r="F10" i="26" s="1"/>
  <c r="F11" i="26" s="1"/>
  <c r="F12" i="26" s="1"/>
  <c r="F13" i="26" s="1"/>
  <c r="F14" i="26" s="1"/>
  <c r="F15" i="26" s="1"/>
  <c r="F16" i="26" s="1"/>
  <c r="F17" i="26" s="1"/>
  <c r="F18" i="26" s="1"/>
  <c r="F19" i="26" s="1"/>
  <c r="F20" i="26" s="1"/>
  <c r="F21" i="26" s="1"/>
  <c r="F22" i="26" s="1"/>
  <c r="F23" i="26" s="1"/>
  <c r="F24" i="26" s="1"/>
  <c r="F25" i="26" s="1"/>
  <c r="F26" i="26" s="1"/>
  <c r="B3" i="26"/>
  <c r="D3" i="26" s="1"/>
  <c r="G22" i="31" l="1"/>
  <c r="I22" i="31" s="1"/>
  <c r="I20" i="30"/>
  <c r="G21" i="30"/>
  <c r="I21" i="30" s="1"/>
  <c r="G24" i="29"/>
  <c r="H24" i="29" s="1"/>
  <c r="H9" i="29"/>
  <c r="I8" i="29"/>
  <c r="I9" i="29"/>
  <c r="G9" i="29" s="1"/>
  <c r="J10" i="29" s="1"/>
  <c r="K11" i="29" s="1"/>
  <c r="I7" i="29"/>
  <c r="D16" i="28"/>
  <c r="B17" i="28"/>
  <c r="I30" i="28" a="1"/>
  <c r="I30" i="28" s="1"/>
  <c r="D5" i="28"/>
  <c r="B6" i="28"/>
  <c r="D6" i="28" s="1"/>
  <c r="D13" i="28"/>
  <c r="B14" i="28"/>
  <c r="D14" i="28" s="1"/>
  <c r="D8" i="28"/>
  <c r="B9" i="28"/>
  <c r="D24" i="28"/>
  <c r="B25" i="28"/>
  <c r="D7" i="28"/>
  <c r="D15" i="28"/>
  <c r="D23" i="28"/>
  <c r="D4" i="28"/>
  <c r="D12" i="28"/>
  <c r="B21" i="28"/>
  <c r="D13" i="27"/>
  <c r="B14" i="27"/>
  <c r="D14" i="27" s="1"/>
  <c r="D16" i="27"/>
  <c r="B17" i="27"/>
  <c r="D5" i="27"/>
  <c r="B6" i="27"/>
  <c r="D6" i="27" s="1"/>
  <c r="D21" i="27"/>
  <c r="B22" i="27"/>
  <c r="D22" i="27" s="1"/>
  <c r="F21" i="27"/>
  <c r="F22" i="27" s="1"/>
  <c r="F23" i="27" s="1"/>
  <c r="F24" i="27" s="1"/>
  <c r="D8" i="27"/>
  <c r="B9" i="27"/>
  <c r="D24" i="27"/>
  <c r="B25" i="27"/>
  <c r="D4" i="27"/>
  <c r="D12" i="27"/>
  <c r="D20" i="27"/>
  <c r="D7" i="27"/>
  <c r="D15" i="27"/>
  <c r="D23" i="27"/>
  <c r="B4" i="26"/>
  <c r="B20" i="26"/>
  <c r="B12" i="26"/>
  <c r="D16" i="26"/>
  <c r="B17" i="26"/>
  <c r="F27" i="26"/>
  <c r="D8" i="26"/>
  <c r="B9" i="26"/>
  <c r="D24" i="26"/>
  <c r="B25" i="26"/>
  <c r="D7" i="26"/>
  <c r="D15" i="26"/>
  <c r="D23" i="26"/>
  <c r="H22" i="31" l="1"/>
  <c r="G23" i="31" s="1"/>
  <c r="I23" i="31" s="1"/>
  <c r="H21" i="30"/>
  <c r="G22" i="30" s="1"/>
  <c r="G10" i="29"/>
  <c r="J30" i="28"/>
  <c r="K30" i="28" a="1"/>
  <c r="K30" i="28" s="1"/>
  <c r="L30" i="28" a="1"/>
  <c r="L30" i="28" s="1"/>
  <c r="D25" i="28"/>
  <c r="B26" i="28"/>
  <c r="D26" i="28" s="1"/>
  <c r="B22" i="28"/>
  <c r="D22" i="28" s="1"/>
  <c r="D21" i="28"/>
  <c r="B10" i="28"/>
  <c r="D10" i="28" s="1"/>
  <c r="D9" i="28"/>
  <c r="B18" i="28"/>
  <c r="D18" i="28" s="1"/>
  <c r="D17" i="28"/>
  <c r="K31" i="28" a="1"/>
  <c r="K31" i="28" s="1"/>
  <c r="J31" i="28"/>
  <c r="J30" i="27"/>
  <c r="B10" i="27"/>
  <c r="D10" i="27" s="1"/>
  <c r="D9" i="27"/>
  <c r="I30" i="27" a="1"/>
  <c r="I30" i="27" s="1"/>
  <c r="D17" i="27"/>
  <c r="B18" i="27"/>
  <c r="D18" i="27" s="1"/>
  <c r="K30" i="27" a="1"/>
  <c r="K30" i="27" s="1"/>
  <c r="F25" i="27"/>
  <c r="F26" i="27" s="1"/>
  <c r="F27" i="27" s="1"/>
  <c r="D25" i="27"/>
  <c r="B26" i="27"/>
  <c r="D26" i="27" s="1"/>
  <c r="L30" i="27" a="1"/>
  <c r="L30" i="27" s="1"/>
  <c r="B13" i="26"/>
  <c r="D12" i="26"/>
  <c r="B21" i="26"/>
  <c r="D20" i="26"/>
  <c r="B5" i="26"/>
  <c r="D4" i="26"/>
  <c r="B18" i="26"/>
  <c r="D18" i="26" s="1"/>
  <c r="D17" i="26"/>
  <c r="B10" i="26"/>
  <c r="D10" i="26" s="1"/>
  <c r="D9" i="26"/>
  <c r="B26" i="26"/>
  <c r="D26" i="26" s="1"/>
  <c r="D25" i="26"/>
  <c r="J23" i="31" l="1"/>
  <c r="H23" i="31"/>
  <c r="G24" i="31" s="1"/>
  <c r="H24" i="31" s="1"/>
  <c r="J25" i="31" s="1"/>
  <c r="J22" i="30"/>
  <c r="I22" i="30"/>
  <c r="H22" i="30"/>
  <c r="G23" i="30" s="1"/>
  <c r="H10" i="29"/>
  <c r="G11" i="29" s="1"/>
  <c r="I10" i="29"/>
  <c r="I31" i="28" a="1"/>
  <c r="I31" i="28" s="1"/>
  <c r="L31" i="28" a="1"/>
  <c r="L31" i="28" s="1"/>
  <c r="K31" i="27" a="1"/>
  <c r="K31" i="27" s="1"/>
  <c r="J31" i="27"/>
  <c r="L31" i="27" a="1"/>
  <c r="L31" i="27" s="1"/>
  <c r="I31" i="27" a="1"/>
  <c r="I31" i="27" s="1"/>
  <c r="B6" i="26"/>
  <c r="D6" i="26" s="1"/>
  <c r="D5" i="26"/>
  <c r="B22" i="26"/>
  <c r="D22" i="26" s="1"/>
  <c r="D21" i="26"/>
  <c r="D13" i="26"/>
  <c r="B14" i="26"/>
  <c r="D14" i="26" s="1"/>
  <c r="G25" i="31" l="1"/>
  <c r="I25" i="31" s="1"/>
  <c r="J24" i="31"/>
  <c r="I35" i="31" s="1" a="1"/>
  <c r="I35" i="31" s="1"/>
  <c r="I24" i="31"/>
  <c r="J23" i="30"/>
  <c r="I23" i="30"/>
  <c r="H23" i="30"/>
  <c r="G24" i="30" s="1"/>
  <c r="H11" i="29"/>
  <c r="J12" i="29" s="1"/>
  <c r="I11" i="29"/>
  <c r="J11" i="29"/>
  <c r="J35" i="31" l="1"/>
  <c r="K35" i="31" a="1"/>
  <c r="K35" i="31" s="1"/>
  <c r="H25" i="31"/>
  <c r="J26" i="31" s="1"/>
  <c r="J24" i="30"/>
  <c r="K35" i="30" s="1" a="1"/>
  <c r="K35" i="30" s="1"/>
  <c r="I24" i="30"/>
  <c r="H24" i="30"/>
  <c r="J25" i="30" s="1"/>
  <c r="G12" i="29"/>
  <c r="M11" i="29"/>
  <c r="L11" i="29"/>
  <c r="K13" i="29"/>
  <c r="K12" i="29"/>
  <c r="M12" i="29" s="1"/>
  <c r="J35" i="30" l="1"/>
  <c r="I35" i="30" a="1"/>
  <c r="I35" i="30" s="1"/>
  <c r="G26" i="31"/>
  <c r="H26" i="31" s="1"/>
  <c r="J27" i="31" s="1"/>
  <c r="G25" i="30"/>
  <c r="I12" i="29"/>
  <c r="H12" i="29"/>
  <c r="J13" i="29" s="1"/>
  <c r="L12" i="29"/>
  <c r="I26" i="31" l="1"/>
  <c r="G27" i="31"/>
  <c r="I25" i="30"/>
  <c r="H25" i="30"/>
  <c r="G26" i="30" s="1"/>
  <c r="G13" i="29"/>
  <c r="L13" i="29"/>
  <c r="M13" i="29"/>
  <c r="K14" i="29"/>
  <c r="I13" i="29"/>
  <c r="H13" i="29"/>
  <c r="G14" i="29" s="1"/>
  <c r="H27" i="31" l="1"/>
  <c r="J28" i="31" s="1"/>
  <c r="I27" i="31"/>
  <c r="J26" i="30"/>
  <c r="H26" i="30"/>
  <c r="G27" i="30" s="1"/>
  <c r="I26" i="30"/>
  <c r="J14" i="29"/>
  <c r="M14" i="29" s="1"/>
  <c r="L14" i="29"/>
  <c r="K15" i="29"/>
  <c r="H14" i="29"/>
  <c r="J15" i="29" s="1"/>
  <c r="K16" i="29" s="1"/>
  <c r="I14" i="29"/>
  <c r="G15" i="29"/>
  <c r="G28" i="31" l="1"/>
  <c r="I28" i="31" s="1"/>
  <c r="K36" i="31" a="1"/>
  <c r="K36" i="31" s="1"/>
  <c r="J36" i="31"/>
  <c r="I36" i="31" a="1"/>
  <c r="I36" i="31" s="1"/>
  <c r="J27" i="30"/>
  <c r="I27" i="30"/>
  <c r="H27" i="30"/>
  <c r="G28" i="30" s="1"/>
  <c r="H15" i="29"/>
  <c r="J16" i="29" s="1"/>
  <c r="I15" i="29"/>
  <c r="G16" i="29"/>
  <c r="M15" i="29"/>
  <c r="L15" i="29"/>
  <c r="H28" i="31" l="1"/>
  <c r="J28" i="30"/>
  <c r="J36" i="30" s="1"/>
  <c r="I28" i="30"/>
  <c r="H28" i="30"/>
  <c r="M16" i="29"/>
  <c r="L16" i="29"/>
  <c r="K17" i="29"/>
  <c r="I16" i="29"/>
  <c r="H16" i="29"/>
  <c r="J17" i="29" s="1"/>
  <c r="G17" i="29"/>
  <c r="K36" i="30" l="1" a="1"/>
  <c r="K36" i="30" s="1"/>
  <c r="I36" i="30" a="1"/>
  <c r="I36" i="30" s="1"/>
  <c r="L17" i="29"/>
  <c r="M17" i="29"/>
  <c r="K18" i="29"/>
  <c r="I17" i="29"/>
  <c r="H17" i="29"/>
  <c r="J18" i="29" s="1"/>
  <c r="G18" i="29"/>
  <c r="E26" i="16"/>
  <c r="H26" i="16" a="1"/>
  <c r="H26" i="16" s="1"/>
  <c r="G26" i="16" a="1"/>
  <c r="G26" i="16" s="1"/>
  <c r="I26" i="16" s="1"/>
  <c r="F26" i="16" a="1"/>
  <c r="F26" i="16" s="1"/>
  <c r="D26" i="16" a="1"/>
  <c r="D26" i="16" s="1"/>
  <c r="H24" i="16" a="1"/>
  <c r="H24" i="16" s="1"/>
  <c r="G24" i="16" a="1"/>
  <c r="G24" i="16" s="1"/>
  <c r="I24" i="16" s="1"/>
  <c r="F24" i="16" a="1"/>
  <c r="F24" i="16" s="1"/>
  <c r="E24" i="16"/>
  <c r="D24" i="16" a="1"/>
  <c r="D24" i="16" s="1"/>
  <c r="M18" i="29" l="1"/>
  <c r="L18" i="29"/>
  <c r="K19" i="29"/>
  <c r="H18" i="29"/>
  <c r="J19" i="29" s="1"/>
  <c r="I18" i="29"/>
  <c r="I22" i="29" s="1"/>
  <c r="I26" i="29" s="1"/>
  <c r="G19" i="29"/>
  <c r="M19" i="29" l="1"/>
  <c r="L19" i="29"/>
  <c r="K20" i="29"/>
  <c r="H19" i="29"/>
  <c r="J20" i="29" s="1"/>
  <c r="I19" i="29"/>
  <c r="I23" i="29" s="1"/>
  <c r="I27" i="29" s="1"/>
  <c r="G20" i="29"/>
  <c r="H20" i="29" l="1"/>
  <c r="J21" i="29" s="1"/>
  <c r="I20" i="29"/>
  <c r="I24" i="29" s="1"/>
  <c r="M20" i="29"/>
  <c r="L20" i="29"/>
  <c r="K21" i="29"/>
  <c r="M21" i="29" l="1"/>
  <c r="L21" i="29"/>
  <c r="I37" i="29"/>
  <c r="K22" i="29"/>
  <c r="K37" i="29"/>
  <c r="J37" i="29"/>
  <c r="J26" i="29"/>
  <c r="I21" i="29"/>
  <c r="I25" i="29" l="1"/>
  <c r="G25" i="29"/>
  <c r="J23" i="29"/>
  <c r="J25" i="29"/>
  <c r="K23" i="29"/>
  <c r="L23" i="29" s="1"/>
  <c r="J22" i="29"/>
  <c r="J27" i="29"/>
  <c r="J24" i="29"/>
  <c r="H25" i="29" l="1"/>
  <c r="G26" i="29" s="1"/>
  <c r="K24" i="29"/>
  <c r="K25" i="29" s="1"/>
  <c r="K26" i="29" s="1"/>
  <c r="M23" i="29"/>
  <c r="M22" i="29"/>
  <c r="L22" i="29"/>
  <c r="M24" i="29"/>
  <c r="H26" i="29" l="1"/>
  <c r="G27" i="29" s="1"/>
  <c r="L24" i="29"/>
  <c r="L25" i="29"/>
  <c r="M25" i="29"/>
  <c r="M26" i="29"/>
  <c r="K27" i="29"/>
  <c r="L26" i="29"/>
  <c r="H27" i="29" l="1"/>
  <c r="G28" i="29" s="1"/>
  <c r="M27" i="29"/>
  <c r="L27" i="29"/>
  <c r="H28" i="29" l="1"/>
  <c r="G29" i="29" s="1"/>
  <c r="H29" i="29" l="1"/>
  <c r="G30" i="29"/>
  <c r="H30" i="29" s="1"/>
  <c r="H5" i="16" l="1" a="1"/>
  <c r="H5" i="16" s="1"/>
  <c r="G5" i="16" a="1"/>
  <c r="G5" i="16" s="1"/>
  <c r="I5" i="16" s="1"/>
  <c r="F5" i="16" a="1"/>
  <c r="F5" i="16" s="1"/>
  <c r="E5" i="16"/>
  <c r="D5" i="16" a="1"/>
  <c r="D5" i="16" s="1"/>
  <c r="H13" i="16" a="1"/>
  <c r="H13" i="16" s="1"/>
  <c r="G13" i="16" a="1"/>
  <c r="G13" i="16" s="1"/>
  <c r="I13" i="16" s="1"/>
  <c r="F13" i="16" a="1"/>
  <c r="F13" i="16" s="1"/>
  <c r="E13" i="16"/>
  <c r="D13" i="16" a="1"/>
  <c r="D13" i="16" s="1"/>
  <c r="E81" i="20"/>
  <c r="E80" i="20"/>
  <c r="F79" i="20"/>
  <c r="E79" i="20"/>
  <c r="F78" i="20"/>
  <c r="E78" i="20"/>
  <c r="F77" i="20"/>
  <c r="E77" i="20"/>
  <c r="F76" i="20"/>
  <c r="E76" i="20"/>
  <c r="F75" i="20"/>
  <c r="E75" i="20"/>
  <c r="F74" i="20"/>
  <c r="E74" i="20"/>
  <c r="F73" i="20"/>
  <c r="E73" i="20"/>
  <c r="F72" i="20"/>
  <c r="E72" i="20"/>
  <c r="F71" i="20"/>
  <c r="E71" i="20"/>
  <c r="F70" i="20"/>
  <c r="E70" i="20"/>
  <c r="F69" i="20"/>
  <c r="E69" i="20"/>
  <c r="F68" i="20"/>
  <c r="E68" i="20"/>
  <c r="F67" i="20"/>
  <c r="E67" i="20"/>
  <c r="F66" i="20"/>
  <c r="E66" i="20"/>
  <c r="F65" i="20"/>
  <c r="E65" i="20"/>
  <c r="F64" i="20"/>
  <c r="E64" i="20"/>
  <c r="F63" i="20"/>
  <c r="E63" i="20"/>
  <c r="F62" i="20"/>
  <c r="E62" i="20"/>
  <c r="F61" i="20"/>
  <c r="E61" i="20"/>
  <c r="F60" i="20"/>
  <c r="E60" i="20"/>
  <c r="F59" i="20"/>
  <c r="E59" i="20"/>
  <c r="F58" i="20"/>
  <c r="E58" i="20"/>
  <c r="F57" i="20"/>
  <c r="E57" i="20"/>
  <c r="F56" i="20"/>
  <c r="E56" i="20"/>
  <c r="F55" i="20"/>
  <c r="E55" i="20"/>
  <c r="F54" i="20"/>
  <c r="E54" i="20"/>
  <c r="F53" i="20"/>
  <c r="E53" i="20"/>
  <c r="F52" i="20"/>
  <c r="E52" i="20"/>
  <c r="F51" i="20"/>
  <c r="E51" i="20"/>
  <c r="F50" i="20"/>
  <c r="E50" i="20"/>
  <c r="F49" i="20"/>
  <c r="E49" i="20"/>
  <c r="F48" i="20"/>
  <c r="E48" i="20"/>
  <c r="F47" i="20"/>
  <c r="E47" i="20"/>
  <c r="F46" i="20"/>
  <c r="E46" i="20"/>
  <c r="F45" i="20"/>
  <c r="E45" i="20"/>
  <c r="F44" i="20"/>
  <c r="E44" i="20"/>
  <c r="F43" i="20"/>
  <c r="E43" i="20"/>
  <c r="F42" i="20"/>
  <c r="E42" i="20"/>
  <c r="F41" i="20"/>
  <c r="E41" i="20"/>
  <c r="F40" i="20"/>
  <c r="E40" i="20"/>
  <c r="F39" i="20"/>
  <c r="E39" i="20"/>
  <c r="F38" i="20"/>
  <c r="E38" i="20"/>
  <c r="F37" i="20"/>
  <c r="E37" i="20"/>
  <c r="F36" i="20"/>
  <c r="E36" i="20"/>
  <c r="F35" i="20"/>
  <c r="E35" i="20"/>
  <c r="F34" i="20"/>
  <c r="E34" i="20"/>
  <c r="F33" i="20"/>
  <c r="E33" i="20"/>
  <c r="F32" i="20"/>
  <c r="E32" i="20"/>
  <c r="F31" i="20"/>
  <c r="E31" i="20"/>
  <c r="F30" i="20"/>
  <c r="E30" i="20"/>
  <c r="F29" i="20"/>
  <c r="E29" i="20"/>
  <c r="F28" i="20"/>
  <c r="E28" i="20"/>
  <c r="F27" i="20"/>
  <c r="E27" i="20"/>
  <c r="F26" i="20"/>
  <c r="E26" i="20"/>
  <c r="F25" i="20"/>
  <c r="E25" i="20"/>
  <c r="F24" i="20"/>
  <c r="E24" i="20"/>
  <c r="F23" i="20"/>
  <c r="E23" i="20"/>
  <c r="F22" i="20"/>
  <c r="E22" i="20"/>
  <c r="F21" i="20"/>
  <c r="E21" i="20"/>
  <c r="F20" i="20"/>
  <c r="E20" i="20"/>
  <c r="F19" i="20"/>
  <c r="E19" i="20"/>
  <c r="F18" i="20"/>
  <c r="E18" i="20"/>
  <c r="F17" i="20"/>
  <c r="E17" i="20"/>
  <c r="F16" i="20"/>
  <c r="H15" i="20" s="1"/>
  <c r="E16" i="20"/>
  <c r="F15" i="20"/>
  <c r="I15" i="20" s="1"/>
  <c r="E15" i="20"/>
  <c r="F14" i="20"/>
  <c r="I14" i="20" s="1"/>
  <c r="E14" i="20"/>
  <c r="F13" i="20"/>
  <c r="I13" i="20" s="1"/>
  <c r="E13" i="20"/>
  <c r="F12" i="20"/>
  <c r="I12" i="20" s="1"/>
  <c r="E12" i="20"/>
  <c r="F11" i="20"/>
  <c r="I11" i="20" s="1"/>
  <c r="E11" i="20"/>
  <c r="F10" i="20"/>
  <c r="I10" i="20" s="1"/>
  <c r="E10" i="20"/>
  <c r="F9" i="20"/>
  <c r="I9" i="20" s="1"/>
  <c r="E9" i="20"/>
  <c r="F8" i="20"/>
  <c r="I8" i="20" s="1"/>
  <c r="E8" i="20"/>
  <c r="F7" i="20"/>
  <c r="I7" i="20" s="1"/>
  <c r="E7" i="20"/>
  <c r="F6" i="20"/>
  <c r="I6" i="20" s="1"/>
  <c r="E6" i="20"/>
  <c r="F5" i="20"/>
  <c r="I5" i="20" s="1"/>
  <c r="E5" i="20"/>
  <c r="A5" i="20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F4" i="20"/>
  <c r="I4" i="20" s="1"/>
  <c r="E4" i="20"/>
  <c r="E3" i="20"/>
  <c r="A31" i="19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F79" i="19"/>
  <c r="E79" i="19"/>
  <c r="F78" i="19"/>
  <c r="E78" i="19"/>
  <c r="F77" i="19"/>
  <c r="E77" i="19"/>
  <c r="F76" i="19"/>
  <c r="E76" i="19"/>
  <c r="F75" i="19"/>
  <c r="E75" i="19"/>
  <c r="F74" i="19"/>
  <c r="E74" i="19"/>
  <c r="F73" i="19"/>
  <c r="E73" i="19"/>
  <c r="F72" i="19"/>
  <c r="E72" i="19"/>
  <c r="F71" i="19"/>
  <c r="E71" i="19"/>
  <c r="F70" i="19"/>
  <c r="E70" i="19"/>
  <c r="F69" i="19"/>
  <c r="E69" i="19"/>
  <c r="F68" i="19"/>
  <c r="E68" i="19"/>
  <c r="F67" i="19"/>
  <c r="E67" i="19"/>
  <c r="F66" i="19"/>
  <c r="E66" i="19"/>
  <c r="F65" i="19"/>
  <c r="E65" i="19"/>
  <c r="F64" i="19"/>
  <c r="E64" i="19"/>
  <c r="F63" i="19"/>
  <c r="E63" i="19"/>
  <c r="F62" i="19"/>
  <c r="E62" i="19"/>
  <c r="F61" i="19"/>
  <c r="E61" i="19"/>
  <c r="F60" i="19"/>
  <c r="E60" i="19"/>
  <c r="F59" i="19"/>
  <c r="E59" i="19"/>
  <c r="F58" i="19"/>
  <c r="E58" i="19"/>
  <c r="F57" i="19"/>
  <c r="E57" i="19"/>
  <c r="F56" i="19"/>
  <c r="E56" i="19"/>
  <c r="F55" i="19"/>
  <c r="E55" i="19"/>
  <c r="F54" i="19"/>
  <c r="E54" i="19"/>
  <c r="F53" i="19"/>
  <c r="E53" i="19"/>
  <c r="F52" i="19"/>
  <c r="E52" i="19"/>
  <c r="F51" i="19"/>
  <c r="E51" i="19"/>
  <c r="F50" i="19"/>
  <c r="E50" i="19"/>
  <c r="F49" i="19"/>
  <c r="E49" i="19"/>
  <c r="F48" i="19"/>
  <c r="E48" i="19"/>
  <c r="F47" i="19"/>
  <c r="E47" i="19"/>
  <c r="F46" i="19"/>
  <c r="E46" i="19"/>
  <c r="F45" i="19"/>
  <c r="E45" i="19"/>
  <c r="F44" i="19"/>
  <c r="E44" i="19"/>
  <c r="F43" i="19"/>
  <c r="E43" i="19"/>
  <c r="F42" i="19"/>
  <c r="E42" i="19"/>
  <c r="F41" i="19"/>
  <c r="E41" i="19"/>
  <c r="F40" i="19"/>
  <c r="E40" i="19"/>
  <c r="F39" i="19"/>
  <c r="E39" i="19"/>
  <c r="F38" i="19"/>
  <c r="E38" i="19"/>
  <c r="F37" i="19"/>
  <c r="E37" i="19"/>
  <c r="F36" i="19"/>
  <c r="E36" i="19"/>
  <c r="F35" i="19"/>
  <c r="E35" i="19"/>
  <c r="F34" i="19"/>
  <c r="E34" i="19"/>
  <c r="F33" i="19"/>
  <c r="E33" i="19"/>
  <c r="F32" i="19"/>
  <c r="E32" i="19"/>
  <c r="F31" i="19"/>
  <c r="E31" i="19"/>
  <c r="F30" i="19"/>
  <c r="E30" i="19"/>
  <c r="F29" i="19"/>
  <c r="E29" i="19"/>
  <c r="F28" i="19"/>
  <c r="E28" i="19"/>
  <c r="F27" i="19"/>
  <c r="E27" i="19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H15" i="19" s="1"/>
  <c r="E16" i="19"/>
  <c r="I15" i="19"/>
  <c r="F15" i="19"/>
  <c r="G15" i="19" s="1"/>
  <c r="J16" i="19" s="1"/>
  <c r="E15" i="19"/>
  <c r="I14" i="19"/>
  <c r="F14" i="19"/>
  <c r="E14" i="19"/>
  <c r="F13" i="19"/>
  <c r="I13" i="19" s="1"/>
  <c r="E13" i="19"/>
  <c r="I12" i="19"/>
  <c r="F12" i="19"/>
  <c r="E12" i="19"/>
  <c r="F11" i="19"/>
  <c r="I11" i="19" s="1"/>
  <c r="E11" i="19"/>
  <c r="I10" i="19"/>
  <c r="F10" i="19"/>
  <c r="E10" i="19"/>
  <c r="F9" i="19"/>
  <c r="I9" i="19" s="1"/>
  <c r="E9" i="19"/>
  <c r="I8" i="19"/>
  <c r="F8" i="19"/>
  <c r="E8" i="19"/>
  <c r="F7" i="19"/>
  <c r="I7" i="19" s="1"/>
  <c r="E7" i="19"/>
  <c r="I6" i="19"/>
  <c r="F6" i="19"/>
  <c r="E6" i="19"/>
  <c r="F5" i="19"/>
  <c r="I5" i="19" s="1"/>
  <c r="E5" i="19"/>
  <c r="A5" i="19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I4" i="19"/>
  <c r="G16" i="19" s="1"/>
  <c r="F4" i="19"/>
  <c r="E4" i="19"/>
  <c r="E3" i="19"/>
  <c r="C3" i="18"/>
  <c r="C4" i="18" s="1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D77" i="8"/>
  <c r="D76" i="8"/>
  <c r="D75" i="8"/>
  <c r="D74" i="8"/>
  <c r="D73" i="8"/>
  <c r="D72" i="8"/>
  <c r="D71" i="8"/>
  <c r="D70" i="8"/>
  <c r="D69" i="8"/>
  <c r="D68" i="8"/>
  <c r="D67" i="8"/>
  <c r="D66" i="8"/>
  <c r="G15" i="20" l="1"/>
  <c r="J16" i="20" s="1"/>
  <c r="H16" i="19"/>
  <c r="G17" i="19" s="1"/>
  <c r="I16" i="19"/>
  <c r="C32" i="18"/>
  <c r="J17" i="19" l="1"/>
  <c r="G16" i="20"/>
  <c r="H17" i="19"/>
  <c r="J18" i="19" s="1"/>
  <c r="I17" i="19"/>
  <c r="C33" i="18"/>
  <c r="G18" i="19" l="1"/>
  <c r="H18" i="19" s="1"/>
  <c r="H16" i="20"/>
  <c r="J17" i="20" s="1"/>
  <c r="I16" i="20"/>
  <c r="C34" i="18"/>
  <c r="I18" i="19" l="1"/>
  <c r="J19" i="19"/>
  <c r="G19" i="19"/>
  <c r="H19" i="19" s="1"/>
  <c r="J20" i="19" s="1"/>
  <c r="K16" i="19" s="1"/>
  <c r="G17" i="20"/>
  <c r="C35" i="18"/>
  <c r="G40" i="18" s="1"/>
  <c r="G39" i="18"/>
  <c r="G20" i="19" l="1"/>
  <c r="H20" i="19" s="1"/>
  <c r="J21" i="19" s="1"/>
  <c r="I19" i="19"/>
  <c r="H17" i="20"/>
  <c r="G18" i="20" s="1"/>
  <c r="I17" i="20"/>
  <c r="C36" i="18"/>
  <c r="G41" i="18" s="1"/>
  <c r="J18" i="20" l="1"/>
  <c r="G21" i="19"/>
  <c r="H21" i="19" s="1"/>
  <c r="G22" i="19" s="1"/>
  <c r="I20" i="19"/>
  <c r="I18" i="20"/>
  <c r="H18" i="20"/>
  <c r="G19" i="20" s="1"/>
  <c r="K21" i="19"/>
  <c r="K17" i="19"/>
  <c r="I21" i="19"/>
  <c r="C37" i="18"/>
  <c r="G42" i="18" s="1"/>
  <c r="H19" i="20" l="1"/>
  <c r="G20" i="20" s="1"/>
  <c r="I19" i="20"/>
  <c r="J19" i="20"/>
  <c r="H22" i="19"/>
  <c r="J23" i="19" s="1"/>
  <c r="I22" i="19"/>
  <c r="J22" i="19"/>
  <c r="C38" i="18"/>
  <c r="G23" i="19" l="1"/>
  <c r="H23" i="19" s="1"/>
  <c r="J24" i="19" s="1"/>
  <c r="I20" i="20"/>
  <c r="H20" i="20"/>
  <c r="J21" i="20" s="1"/>
  <c r="J20" i="20"/>
  <c r="K23" i="19"/>
  <c r="K19" i="19"/>
  <c r="K22" i="19"/>
  <c r="K18" i="19"/>
  <c r="C39" i="18"/>
  <c r="G43" i="18"/>
  <c r="G21" i="20" l="1"/>
  <c r="I21" i="20" s="1"/>
  <c r="I23" i="19"/>
  <c r="K24" i="19"/>
  <c r="K20" i="19"/>
  <c r="G24" i="19"/>
  <c r="G44" i="18"/>
  <c r="C40" i="18"/>
  <c r="G45" i="18" s="1"/>
  <c r="H21" i="20" l="1"/>
  <c r="J22" i="20" s="1"/>
  <c r="H24" i="19"/>
  <c r="J25" i="19" s="1"/>
  <c r="K25" i="19" s="1"/>
  <c r="I24" i="19"/>
  <c r="C41" i="18"/>
  <c r="G46" i="18" s="1"/>
  <c r="G22" i="20" l="1"/>
  <c r="I22" i="20" s="1"/>
  <c r="G25" i="19"/>
  <c r="H25" i="19" s="1"/>
  <c r="J26" i="19" s="1"/>
  <c r="K26" i="19" s="1"/>
  <c r="C42" i="18"/>
  <c r="I25" i="19" l="1"/>
  <c r="H22" i="20"/>
  <c r="J23" i="20" s="1"/>
  <c r="G26" i="19"/>
  <c r="H26" i="19" s="1"/>
  <c r="J27" i="19" s="1"/>
  <c r="K27" i="19" s="1"/>
  <c r="G47" i="18"/>
  <c r="C43" i="18"/>
  <c r="G48" i="18" s="1"/>
  <c r="I26" i="19" l="1"/>
  <c r="G23" i="20"/>
  <c r="G27" i="19"/>
  <c r="H27" i="19" s="1"/>
  <c r="J28" i="19" s="1"/>
  <c r="K28" i="19" s="1"/>
  <c r="C44" i="18"/>
  <c r="I23" i="20" l="1"/>
  <c r="H23" i="20"/>
  <c r="J24" i="20" s="1"/>
  <c r="G28" i="19"/>
  <c r="H28" i="19" s="1"/>
  <c r="J29" i="19" s="1"/>
  <c r="K29" i="19" s="1"/>
  <c r="I27" i="19"/>
  <c r="C45" i="18"/>
  <c r="G49" i="18"/>
  <c r="I28" i="19" l="1"/>
  <c r="G24" i="20"/>
  <c r="G50" i="18"/>
  <c r="G29" i="19"/>
  <c r="C46" i="18"/>
  <c r="I24" i="20" l="1"/>
  <c r="H24" i="20"/>
  <c r="J25" i="20" s="1"/>
  <c r="H29" i="19"/>
  <c r="J30" i="19" s="1"/>
  <c r="K30" i="19" s="1"/>
  <c r="I29" i="19"/>
  <c r="C47" i="18"/>
  <c r="G51" i="18"/>
  <c r="G30" i="19" l="1"/>
  <c r="H30" i="19" s="1"/>
  <c r="J31" i="19" s="1"/>
  <c r="K31" i="19" s="1"/>
  <c r="G25" i="20"/>
  <c r="H25" i="20" s="1"/>
  <c r="G52" i="18"/>
  <c r="I30" i="19"/>
  <c r="C48" i="18"/>
  <c r="I25" i="20" l="1"/>
  <c r="G26" i="20"/>
  <c r="H26" i="20" s="1"/>
  <c r="J27" i="20" s="1"/>
  <c r="J26" i="20"/>
  <c r="G31" i="19"/>
  <c r="C49" i="18"/>
  <c r="G54" i="18" s="1"/>
  <c r="G53" i="18"/>
  <c r="I26" i="20" l="1"/>
  <c r="G27" i="20"/>
  <c r="H27" i="20" s="1"/>
  <c r="J28" i="20" s="1"/>
  <c r="H31" i="19"/>
  <c r="J32" i="19" s="1"/>
  <c r="K32" i="19" s="1"/>
  <c r="I31" i="19"/>
  <c r="C50" i="18"/>
  <c r="G55" i="18" s="1"/>
  <c r="I27" i="20" l="1"/>
  <c r="G28" i="20"/>
  <c r="I28" i="20" s="1"/>
  <c r="G32" i="19"/>
  <c r="H32" i="19" s="1"/>
  <c r="J33" i="19" s="1"/>
  <c r="K33" i="19" s="1"/>
  <c r="C51" i="18"/>
  <c r="C77" i="8"/>
  <c r="C75" i="7"/>
  <c r="G86" i="8"/>
  <c r="G83" i="7"/>
  <c r="G24" i="15"/>
  <c r="H28" i="20" l="1"/>
  <c r="J29" i="20" s="1"/>
  <c r="I32" i="19"/>
  <c r="G33" i="19"/>
  <c r="I33" i="19" s="1"/>
  <c r="C52" i="18"/>
  <c r="G57" i="18" s="1"/>
  <c r="G56" i="18"/>
  <c r="E25" i="14"/>
  <c r="E25" i="13"/>
  <c r="E25" i="12"/>
  <c r="G82" i="7"/>
  <c r="C79" i="7"/>
  <c r="G29" i="20" l="1"/>
  <c r="I29" i="20" s="1"/>
  <c r="H33" i="19"/>
  <c r="J34" i="19" s="1"/>
  <c r="K34" i="19" s="1"/>
  <c r="C53" i="18"/>
  <c r="G58" i="18" s="1"/>
  <c r="C3" i="15"/>
  <c r="C4" i="15" s="1"/>
  <c r="C5" i="15" s="1"/>
  <c r="C6" i="15" s="1"/>
  <c r="C7" i="15" s="1"/>
  <c r="C8" i="15" s="1"/>
  <c r="C9" i="15" s="1"/>
  <c r="C10" i="15" s="1"/>
  <c r="C11" i="15" s="1"/>
  <c r="C12" i="15" s="1"/>
  <c r="H29" i="20" l="1"/>
  <c r="J30" i="20" s="1"/>
  <c r="G34" i="19"/>
  <c r="C54" i="18"/>
  <c r="C13" i="15"/>
  <c r="G15" i="15"/>
  <c r="G16" i="15"/>
  <c r="G59" i="18" l="1"/>
  <c r="G30" i="20"/>
  <c r="H30" i="20" s="1"/>
  <c r="J31" i="20" s="1"/>
  <c r="I34" i="19"/>
  <c r="H34" i="19"/>
  <c r="J35" i="19" s="1"/>
  <c r="K35" i="19" s="1"/>
  <c r="C55" i="18"/>
  <c r="G60" i="18" s="1"/>
  <c r="C14" i="15"/>
  <c r="C15" i="15" s="1"/>
  <c r="C16" i="15" s="1"/>
  <c r="C3" i="14"/>
  <c r="C3" i="13"/>
  <c r="C4" i="13" s="1"/>
  <c r="C3" i="12"/>
  <c r="C4" i="12" s="1"/>
  <c r="I30" i="20" l="1"/>
  <c r="G31" i="20"/>
  <c r="G35" i="19"/>
  <c r="C56" i="18"/>
  <c r="C17" i="15"/>
  <c r="C18" i="15" s="1"/>
  <c r="C19" i="15" s="1"/>
  <c r="G17" i="15"/>
  <c r="C5" i="12"/>
  <c r="C6" i="12" s="1"/>
  <c r="C7" i="12" s="1"/>
  <c r="C8" i="12" s="1"/>
  <c r="C9" i="12" s="1"/>
  <c r="C10" i="12" s="1"/>
  <c r="C11" i="12" s="1"/>
  <c r="C12" i="12" s="1"/>
  <c r="C5" i="13"/>
  <c r="C6" i="13" s="1"/>
  <c r="C7" i="13" s="1"/>
  <c r="G19" i="15"/>
  <c r="G18" i="15"/>
  <c r="C4" i="14"/>
  <c r="H31" i="20" l="1"/>
  <c r="J32" i="20" s="1"/>
  <c r="I31" i="20"/>
  <c r="H35" i="19"/>
  <c r="J36" i="19" s="1"/>
  <c r="K36" i="19" s="1"/>
  <c r="I35" i="19"/>
  <c r="C57" i="18"/>
  <c r="G61" i="18"/>
  <c r="C20" i="15"/>
  <c r="G23" i="15" s="1"/>
  <c r="F11" i="12"/>
  <c r="F8" i="12"/>
  <c r="F10" i="12"/>
  <c r="F7" i="12"/>
  <c r="G22" i="15"/>
  <c r="G20" i="15"/>
  <c r="G21" i="15"/>
  <c r="F8" i="13"/>
  <c r="F7" i="13"/>
  <c r="F12" i="12"/>
  <c r="F13" i="12"/>
  <c r="F9" i="12"/>
  <c r="C13" i="12"/>
  <c r="F14" i="12"/>
  <c r="C5" i="14"/>
  <c r="F7" i="14" s="1"/>
  <c r="C8" i="13"/>
  <c r="C9" i="13" s="1"/>
  <c r="F9" i="13"/>
  <c r="G62" i="18" l="1"/>
  <c r="G32" i="20"/>
  <c r="G36" i="19"/>
  <c r="C58" i="18"/>
  <c r="F15" i="12"/>
  <c r="C14" i="12"/>
  <c r="C10" i="13"/>
  <c r="C11" i="13" s="1"/>
  <c r="C6" i="14"/>
  <c r="F10" i="13"/>
  <c r="F11" i="13"/>
  <c r="H32" i="20" l="1"/>
  <c r="G33" i="20" s="1"/>
  <c r="I32" i="20"/>
  <c r="H36" i="19"/>
  <c r="J37" i="19" s="1"/>
  <c r="K37" i="19" s="1"/>
  <c r="I36" i="19"/>
  <c r="C59" i="18"/>
  <c r="G63" i="18"/>
  <c r="C15" i="12"/>
  <c r="F16" i="12"/>
  <c r="F17" i="12"/>
  <c r="F13" i="13"/>
  <c r="C12" i="13"/>
  <c r="F12" i="13"/>
  <c r="C7" i="14"/>
  <c r="F8" i="14"/>
  <c r="G64" i="18" l="1"/>
  <c r="J33" i="20"/>
  <c r="H33" i="20"/>
  <c r="G34" i="20" s="1"/>
  <c r="I33" i="20"/>
  <c r="G37" i="19"/>
  <c r="C60" i="18"/>
  <c r="C16" i="12"/>
  <c r="C13" i="13"/>
  <c r="F14" i="13"/>
  <c r="C8" i="14"/>
  <c r="F10" i="14" s="1"/>
  <c r="F9" i="14"/>
  <c r="C3" i="1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J34" i="20" l="1"/>
  <c r="H34" i="20"/>
  <c r="J35" i="20" s="1"/>
  <c r="I34" i="20"/>
  <c r="I37" i="19"/>
  <c r="H37" i="19"/>
  <c r="J38" i="19" s="1"/>
  <c r="K38" i="19" s="1"/>
  <c r="C61" i="18"/>
  <c r="G65" i="18"/>
  <c r="C17" i="12"/>
  <c r="F19" i="12" s="1"/>
  <c r="F18" i="12"/>
  <c r="C14" i="13"/>
  <c r="F15" i="13"/>
  <c r="C9" i="14"/>
  <c r="C29" i="11"/>
  <c r="C3" i="10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G35" i="20" l="1"/>
  <c r="H35" i="20" s="1"/>
  <c r="J36" i="20" s="1"/>
  <c r="G38" i="19"/>
  <c r="H38" i="19" s="1"/>
  <c r="J39" i="19" s="1"/>
  <c r="K39" i="19" s="1"/>
  <c r="C62" i="18"/>
  <c r="G66" i="18"/>
  <c r="C15" i="13"/>
  <c r="C16" i="13" s="1"/>
  <c r="C18" i="12"/>
  <c r="F20" i="12" s="1"/>
  <c r="F17" i="13"/>
  <c r="F16" i="13"/>
  <c r="C10" i="14"/>
  <c r="C11" i="14" s="1"/>
  <c r="F11" i="14"/>
  <c r="C32" i="10"/>
  <c r="C32" i="9"/>
  <c r="C30" i="11"/>
  <c r="C32" i="7"/>
  <c r="C32" i="8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4" i="6"/>
  <c r="G4" i="6" s="1"/>
  <c r="H4" i="6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4" i="5"/>
  <c r="F32" i="3"/>
  <c r="F31" i="3"/>
  <c r="F30" i="3"/>
  <c r="F29" i="3"/>
  <c r="F28" i="3"/>
  <c r="F27" i="3"/>
  <c r="F26" i="3"/>
  <c r="G26" i="3" s="1"/>
  <c r="H26" i="3" s="1"/>
  <c r="F25" i="3"/>
  <c r="F24" i="3"/>
  <c r="F23" i="3"/>
  <c r="F22" i="3"/>
  <c r="F21" i="3"/>
  <c r="F20" i="3"/>
  <c r="F19" i="3"/>
  <c r="F18" i="3"/>
  <c r="G18" i="3" s="1"/>
  <c r="H18" i="3" s="1"/>
  <c r="F17" i="3"/>
  <c r="F16" i="3"/>
  <c r="F15" i="3"/>
  <c r="F14" i="3"/>
  <c r="F13" i="3"/>
  <c r="F12" i="3"/>
  <c r="F11" i="3"/>
  <c r="F10" i="3"/>
  <c r="G10" i="3" s="1"/>
  <c r="H10" i="3" s="1"/>
  <c r="F9" i="3"/>
  <c r="F8" i="3"/>
  <c r="F7" i="3"/>
  <c r="F6" i="3"/>
  <c r="F5" i="3"/>
  <c r="F4" i="3"/>
  <c r="I35" i="20" l="1"/>
  <c r="G36" i="20"/>
  <c r="H36" i="20" s="1"/>
  <c r="I38" i="19"/>
  <c r="G39" i="19"/>
  <c r="H39" i="19" s="1"/>
  <c r="J40" i="19" s="1"/>
  <c r="K40" i="19" s="1"/>
  <c r="C63" i="18"/>
  <c r="G68" i="18" s="1"/>
  <c r="G67" i="18"/>
  <c r="G17" i="3"/>
  <c r="H17" i="3" s="1"/>
  <c r="G16" i="5"/>
  <c r="H16" i="5" s="1"/>
  <c r="G21" i="3"/>
  <c r="H21" i="3" s="1"/>
  <c r="G29" i="3"/>
  <c r="H29" i="3" s="1"/>
  <c r="G6" i="3"/>
  <c r="H6" i="3" s="1"/>
  <c r="Q6" i="3" s="1"/>
  <c r="I30" i="3" s="1"/>
  <c r="J30" i="3" s="1"/>
  <c r="G14" i="3"/>
  <c r="H14" i="3" s="1"/>
  <c r="Q2" i="3" s="1"/>
  <c r="I26" i="3" s="1"/>
  <c r="G22" i="3"/>
  <c r="H22" i="3" s="1"/>
  <c r="Q10" i="3" s="1"/>
  <c r="G30" i="3"/>
  <c r="H30" i="3" s="1"/>
  <c r="G31" i="3"/>
  <c r="H31" i="3" s="1"/>
  <c r="C19" i="12"/>
  <c r="G24" i="5"/>
  <c r="H24" i="5" s="1"/>
  <c r="G8" i="5"/>
  <c r="H8" i="5" s="1"/>
  <c r="C12" i="14"/>
  <c r="F12" i="14"/>
  <c r="F13" i="14"/>
  <c r="G13" i="6"/>
  <c r="H13" i="6" s="1"/>
  <c r="G29" i="6"/>
  <c r="H29" i="6" s="1"/>
  <c r="G20" i="5"/>
  <c r="H20" i="5" s="1"/>
  <c r="Q8" i="5" s="1"/>
  <c r="I32" i="5" s="1"/>
  <c r="G17" i="6"/>
  <c r="H17" i="6" s="1"/>
  <c r="G31" i="5"/>
  <c r="H31" i="5" s="1"/>
  <c r="G27" i="5"/>
  <c r="G23" i="5"/>
  <c r="H23" i="5" s="1"/>
  <c r="G19" i="5"/>
  <c r="H19" i="5" s="1"/>
  <c r="G15" i="5"/>
  <c r="H15" i="5" s="1"/>
  <c r="G11" i="5"/>
  <c r="H11" i="5" s="1"/>
  <c r="G7" i="5"/>
  <c r="H7" i="5" s="1"/>
  <c r="G28" i="5"/>
  <c r="H28" i="5" s="1"/>
  <c r="G31" i="6"/>
  <c r="H31" i="6" s="1"/>
  <c r="G27" i="6"/>
  <c r="H27" i="6" s="1"/>
  <c r="G23" i="6"/>
  <c r="H23" i="6" s="1"/>
  <c r="G19" i="6"/>
  <c r="H19" i="6" s="1"/>
  <c r="G15" i="6"/>
  <c r="G11" i="6"/>
  <c r="H11" i="6" s="1"/>
  <c r="G7" i="6"/>
  <c r="H7" i="6" s="1"/>
  <c r="G5" i="6"/>
  <c r="H5" i="6" s="1"/>
  <c r="G21" i="6"/>
  <c r="H21" i="6" s="1"/>
  <c r="G4" i="5"/>
  <c r="H4" i="5" s="1"/>
  <c r="G4" i="3"/>
  <c r="H4" i="3" s="1"/>
  <c r="G8" i="3"/>
  <c r="H8" i="3" s="1"/>
  <c r="G12" i="3"/>
  <c r="H12" i="3" s="1"/>
  <c r="G16" i="3"/>
  <c r="H16" i="3" s="1"/>
  <c r="G20" i="3"/>
  <c r="H20" i="3" s="1"/>
  <c r="G24" i="3"/>
  <c r="H24" i="3" s="1"/>
  <c r="G28" i="3"/>
  <c r="H28" i="3" s="1"/>
  <c r="G12" i="5"/>
  <c r="H12" i="5" s="1"/>
  <c r="Q12" i="5" s="1"/>
  <c r="G9" i="6"/>
  <c r="H9" i="6" s="1"/>
  <c r="G25" i="6"/>
  <c r="H25" i="6" s="1"/>
  <c r="H15" i="6"/>
  <c r="G5" i="3"/>
  <c r="H5" i="3" s="1"/>
  <c r="Q5" i="3" s="1"/>
  <c r="I29" i="3" s="1"/>
  <c r="J29" i="3" s="1"/>
  <c r="G9" i="3"/>
  <c r="H9" i="3" s="1"/>
  <c r="Q9" i="3" s="1"/>
  <c r="I33" i="3" s="1"/>
  <c r="J33" i="3" s="1"/>
  <c r="G25" i="3"/>
  <c r="H25" i="3" s="1"/>
  <c r="G13" i="3"/>
  <c r="H13" i="3" s="1"/>
  <c r="G5" i="5"/>
  <c r="H5" i="5" s="1"/>
  <c r="G9" i="5"/>
  <c r="H9" i="5" s="1"/>
  <c r="G13" i="5"/>
  <c r="H13" i="5" s="1"/>
  <c r="G17" i="5"/>
  <c r="H17" i="5" s="1"/>
  <c r="G21" i="5"/>
  <c r="H21" i="5" s="1"/>
  <c r="G25" i="5"/>
  <c r="H25" i="5" s="1"/>
  <c r="G29" i="5"/>
  <c r="H29" i="5" s="1"/>
  <c r="H27" i="5"/>
  <c r="G12" i="6"/>
  <c r="H12" i="6" s="1"/>
  <c r="G20" i="6"/>
  <c r="H20" i="6" s="1"/>
  <c r="G28" i="6"/>
  <c r="H28" i="6" s="1"/>
  <c r="G7" i="3"/>
  <c r="H7" i="3" s="1"/>
  <c r="G11" i="3"/>
  <c r="H11" i="3" s="1"/>
  <c r="Q11" i="3" s="1"/>
  <c r="I11" i="3" s="1"/>
  <c r="G15" i="3"/>
  <c r="H15" i="3" s="1"/>
  <c r="G23" i="3"/>
  <c r="H23" i="3" s="1"/>
  <c r="G27" i="3"/>
  <c r="H27" i="3" s="1"/>
  <c r="G6" i="5"/>
  <c r="H6" i="5" s="1"/>
  <c r="G10" i="5"/>
  <c r="H10" i="5" s="1"/>
  <c r="G14" i="5"/>
  <c r="H14" i="5" s="1"/>
  <c r="G18" i="5"/>
  <c r="H18" i="5" s="1"/>
  <c r="G22" i="5"/>
  <c r="H22" i="5" s="1"/>
  <c r="G26" i="5"/>
  <c r="H26" i="5" s="1"/>
  <c r="G30" i="5"/>
  <c r="H30" i="5" s="1"/>
  <c r="G19" i="3"/>
  <c r="H19" i="3" s="1"/>
  <c r="G8" i="6"/>
  <c r="H8" i="6" s="1"/>
  <c r="G16" i="6"/>
  <c r="H16" i="6" s="1"/>
  <c r="G24" i="6"/>
  <c r="H24" i="6" s="1"/>
  <c r="G6" i="6"/>
  <c r="H6" i="6" s="1"/>
  <c r="G10" i="6"/>
  <c r="H10" i="6" s="1"/>
  <c r="G14" i="6"/>
  <c r="H14" i="6" s="1"/>
  <c r="G18" i="6"/>
  <c r="H18" i="6" s="1"/>
  <c r="G22" i="6"/>
  <c r="H22" i="6" s="1"/>
  <c r="G26" i="6"/>
  <c r="H26" i="6" s="1"/>
  <c r="G30" i="6"/>
  <c r="H30" i="6" s="1"/>
  <c r="C33" i="7"/>
  <c r="C33" i="9"/>
  <c r="C31" i="11"/>
  <c r="G36" i="11" s="1"/>
  <c r="C33" i="10"/>
  <c r="C33" i="8"/>
  <c r="I38" i="3"/>
  <c r="J26" i="3"/>
  <c r="I2" i="3"/>
  <c r="I6" i="3"/>
  <c r="I14" i="3"/>
  <c r="I18" i="3"/>
  <c r="F37" i="2"/>
  <c r="F36" i="2"/>
  <c r="F35" i="2"/>
  <c r="O34" i="2"/>
  <c r="F34" i="2"/>
  <c r="O33" i="2"/>
  <c r="O32" i="2"/>
  <c r="O31" i="2"/>
  <c r="F32" i="1"/>
  <c r="F31" i="1"/>
  <c r="F30" i="1"/>
  <c r="G30" i="1" s="1"/>
  <c r="H30" i="1" s="1"/>
  <c r="F29" i="1"/>
  <c r="F28" i="1"/>
  <c r="F27" i="1"/>
  <c r="F26" i="1"/>
  <c r="G26" i="1" s="1"/>
  <c r="H26" i="1" s="1"/>
  <c r="F25" i="1"/>
  <c r="F24" i="1"/>
  <c r="F23" i="1"/>
  <c r="F22" i="1"/>
  <c r="F21" i="1"/>
  <c r="F20" i="1"/>
  <c r="F19" i="1"/>
  <c r="F18" i="1"/>
  <c r="F17" i="1"/>
  <c r="F16" i="1"/>
  <c r="G16" i="1" s="1"/>
  <c r="H16" i="1" s="1"/>
  <c r="F15" i="1"/>
  <c r="F14" i="1"/>
  <c r="F13" i="1"/>
  <c r="G13" i="1" s="1"/>
  <c r="H13" i="1" s="1"/>
  <c r="F12" i="1"/>
  <c r="F11" i="1"/>
  <c r="F10" i="1"/>
  <c r="F9" i="1"/>
  <c r="G9" i="1" s="1"/>
  <c r="H9" i="1" s="1"/>
  <c r="F8" i="1"/>
  <c r="G8" i="1" s="1"/>
  <c r="H8" i="1" s="1"/>
  <c r="F7" i="1"/>
  <c r="F6" i="1"/>
  <c r="G6" i="1" s="1"/>
  <c r="H6" i="1" s="1"/>
  <c r="F5" i="1"/>
  <c r="F4" i="1"/>
  <c r="G4" i="1" s="1"/>
  <c r="H4" i="1" s="1"/>
  <c r="I36" i="20" l="1"/>
  <c r="J37" i="20"/>
  <c r="G37" i="20"/>
  <c r="H37" i="20" s="1"/>
  <c r="I39" i="19"/>
  <c r="G40" i="19"/>
  <c r="H40" i="19" s="1"/>
  <c r="J41" i="19" s="1"/>
  <c r="K41" i="19" s="1"/>
  <c r="C64" i="18"/>
  <c r="G17" i="1"/>
  <c r="H17" i="1" s="1"/>
  <c r="G21" i="1"/>
  <c r="H21" i="1" s="1"/>
  <c r="Q4" i="5"/>
  <c r="G19" i="1"/>
  <c r="H19" i="1" s="1"/>
  <c r="F21" i="12"/>
  <c r="C20" i="12"/>
  <c r="I8" i="5"/>
  <c r="Q9" i="1"/>
  <c r="I9" i="1" s="1"/>
  <c r="Q7" i="6"/>
  <c r="Q8" i="3"/>
  <c r="I34" i="3"/>
  <c r="I22" i="3"/>
  <c r="J22" i="3" s="1"/>
  <c r="I10" i="3"/>
  <c r="Q11" i="5"/>
  <c r="I35" i="5" s="1"/>
  <c r="Q11" i="6"/>
  <c r="I35" i="6" s="1"/>
  <c r="G14" i="1"/>
  <c r="H14" i="1" s="1"/>
  <c r="Q2" i="1" s="1"/>
  <c r="Q3" i="3"/>
  <c r="I27" i="3" s="1"/>
  <c r="J27" i="3" s="1"/>
  <c r="C17" i="13"/>
  <c r="C18" i="13" s="1"/>
  <c r="C19" i="13" s="1"/>
  <c r="F18" i="13"/>
  <c r="I17" i="3"/>
  <c r="Q3" i="6"/>
  <c r="I3" i="6" s="1"/>
  <c r="I5" i="3"/>
  <c r="G11" i="1"/>
  <c r="H11" i="1" s="1"/>
  <c r="G25" i="1"/>
  <c r="H25" i="1" s="1"/>
  <c r="Q13" i="1" s="1"/>
  <c r="I20" i="5"/>
  <c r="C13" i="14"/>
  <c r="F14" i="14"/>
  <c r="Q5" i="6"/>
  <c r="I29" i="6" s="1"/>
  <c r="Q13" i="6"/>
  <c r="I25" i="6" s="1"/>
  <c r="Q9" i="6"/>
  <c r="I33" i="6" s="1"/>
  <c r="I36" i="5"/>
  <c r="I24" i="5"/>
  <c r="J24" i="5" s="1"/>
  <c r="I12" i="5"/>
  <c r="G7" i="1"/>
  <c r="H7" i="1" s="1"/>
  <c r="G10" i="1"/>
  <c r="H10" i="1" s="1"/>
  <c r="G20" i="1"/>
  <c r="H20" i="1" s="1"/>
  <c r="Q8" i="1" s="1"/>
  <c r="G24" i="1"/>
  <c r="H24" i="1" s="1"/>
  <c r="G27" i="1"/>
  <c r="H27" i="1" s="1"/>
  <c r="G31" i="1"/>
  <c r="H31" i="1" s="1"/>
  <c r="Q13" i="3"/>
  <c r="I13" i="3" s="1"/>
  <c r="J13" i="3" s="1"/>
  <c r="Q4" i="3"/>
  <c r="G5" i="1"/>
  <c r="H5" i="1" s="1"/>
  <c r="G12" i="1"/>
  <c r="H12" i="1" s="1"/>
  <c r="G15" i="1"/>
  <c r="H15" i="1" s="1"/>
  <c r="G18" i="1"/>
  <c r="H18" i="1" s="1"/>
  <c r="Q6" i="1" s="1"/>
  <c r="G22" i="1"/>
  <c r="H22" i="1" s="1"/>
  <c r="G29" i="1"/>
  <c r="H29" i="1" s="1"/>
  <c r="Q2" i="6"/>
  <c r="I26" i="6" s="1"/>
  <c r="Q4" i="6"/>
  <c r="I4" i="6" s="1"/>
  <c r="Q12" i="3"/>
  <c r="Q10" i="6"/>
  <c r="Q10" i="5"/>
  <c r="Q5" i="5"/>
  <c r="Q6" i="6"/>
  <c r="Q6" i="5"/>
  <c r="C34" i="10"/>
  <c r="H35" i="10"/>
  <c r="I23" i="6"/>
  <c r="I23" i="5"/>
  <c r="I11" i="5"/>
  <c r="Q8" i="6"/>
  <c r="Q9" i="5"/>
  <c r="G23" i="1"/>
  <c r="H23" i="1" s="1"/>
  <c r="G28" i="1"/>
  <c r="H28" i="1" s="1"/>
  <c r="Q4" i="1" s="1"/>
  <c r="I9" i="3"/>
  <c r="J9" i="3" s="1"/>
  <c r="C34" i="9"/>
  <c r="I7" i="6"/>
  <c r="I19" i="6"/>
  <c r="I31" i="6"/>
  <c r="I35" i="3"/>
  <c r="I23" i="3"/>
  <c r="J23" i="3" s="1"/>
  <c r="Q3" i="5"/>
  <c r="Q12" i="6"/>
  <c r="Q13" i="5"/>
  <c r="Q2" i="5"/>
  <c r="J8" i="5"/>
  <c r="I21" i="3"/>
  <c r="J21" i="3" s="1"/>
  <c r="Q7" i="3"/>
  <c r="I28" i="5"/>
  <c r="I16" i="5"/>
  <c r="I4" i="5"/>
  <c r="J12" i="5"/>
  <c r="J20" i="5"/>
  <c r="C32" i="11"/>
  <c r="G37" i="11" s="1"/>
  <c r="C34" i="7"/>
  <c r="Q7" i="5"/>
  <c r="J32" i="5"/>
  <c r="C34" i="8"/>
  <c r="G39" i="8" s="1"/>
  <c r="J14" i="3"/>
  <c r="J17" i="3"/>
  <c r="J2" i="3"/>
  <c r="J6" i="3"/>
  <c r="J18" i="3"/>
  <c r="J5" i="3"/>
  <c r="J10" i="3"/>
  <c r="J11" i="3"/>
  <c r="I21" i="1"/>
  <c r="I33" i="1"/>
  <c r="Q5" i="1"/>
  <c r="J38" i="20" l="1"/>
  <c r="G38" i="20"/>
  <c r="H38" i="20" s="1"/>
  <c r="J39" i="20" s="1"/>
  <c r="I37" i="20"/>
  <c r="I40" i="19"/>
  <c r="G41" i="19"/>
  <c r="C65" i="18"/>
  <c r="G69" i="18"/>
  <c r="I5" i="6"/>
  <c r="I38" i="6"/>
  <c r="Q7" i="1"/>
  <c r="I37" i="3"/>
  <c r="I17" i="6"/>
  <c r="I2" i="6"/>
  <c r="I25" i="3"/>
  <c r="J25" i="3" s="1"/>
  <c r="I14" i="6"/>
  <c r="J14" i="6" s="1"/>
  <c r="C21" i="12"/>
  <c r="F23" i="12" s="1"/>
  <c r="F21" i="13"/>
  <c r="C20" i="13"/>
  <c r="F22" i="12"/>
  <c r="Q10" i="1"/>
  <c r="I37" i="6"/>
  <c r="I32" i="3"/>
  <c r="J32" i="3" s="1"/>
  <c r="I20" i="3"/>
  <c r="J20" i="3" s="1"/>
  <c r="I8" i="3"/>
  <c r="J8" i="3" s="1"/>
  <c r="I15" i="6"/>
  <c r="I27" i="6"/>
  <c r="I38" i="1"/>
  <c r="I26" i="1"/>
  <c r="J26" i="1" s="1"/>
  <c r="I25" i="1"/>
  <c r="I37" i="1"/>
  <c r="I13" i="1"/>
  <c r="I3" i="3"/>
  <c r="J3" i="3" s="1"/>
  <c r="I11" i="6"/>
  <c r="J11" i="6" s="1"/>
  <c r="Q12" i="1"/>
  <c r="F20" i="13"/>
  <c r="I9" i="6"/>
  <c r="I21" i="6"/>
  <c r="Q11" i="1"/>
  <c r="I11" i="1" s="1"/>
  <c r="J11" i="1" s="1"/>
  <c r="I15" i="3"/>
  <c r="J15" i="3" s="1"/>
  <c r="Q3" i="1"/>
  <c r="I13" i="6"/>
  <c r="J13" i="6" s="1"/>
  <c r="I16" i="6"/>
  <c r="J16" i="6" s="1"/>
  <c r="F19" i="13"/>
  <c r="C14" i="14"/>
  <c r="F15" i="14"/>
  <c r="I10" i="1"/>
  <c r="J10" i="1" s="1"/>
  <c r="I34" i="1"/>
  <c r="I22" i="1"/>
  <c r="J22" i="1" s="1"/>
  <c r="I6" i="1"/>
  <c r="J6" i="1" s="1"/>
  <c r="I30" i="1"/>
  <c r="I18" i="1"/>
  <c r="I8" i="1"/>
  <c r="I32" i="1"/>
  <c r="J32" i="1" s="1"/>
  <c r="I20" i="1"/>
  <c r="J20" i="1" s="1"/>
  <c r="I14" i="1"/>
  <c r="I28" i="6"/>
  <c r="I2" i="1"/>
  <c r="J2" i="1" s="1"/>
  <c r="I28" i="3"/>
  <c r="J28" i="3" s="1"/>
  <c r="I16" i="3"/>
  <c r="J16" i="3" s="1"/>
  <c r="I4" i="3"/>
  <c r="J4" i="3" s="1"/>
  <c r="I24" i="3"/>
  <c r="J24" i="3" s="1"/>
  <c r="I36" i="3"/>
  <c r="I12" i="3"/>
  <c r="J12" i="3" s="1"/>
  <c r="I4" i="1"/>
  <c r="I28" i="1"/>
  <c r="I16" i="1"/>
  <c r="J16" i="1" s="1"/>
  <c r="C33" i="11"/>
  <c r="G38" i="11" s="1"/>
  <c r="J16" i="5"/>
  <c r="J9" i="6"/>
  <c r="J5" i="6"/>
  <c r="I25" i="5"/>
  <c r="I13" i="5"/>
  <c r="I37" i="5"/>
  <c r="I36" i="6"/>
  <c r="I24" i="6"/>
  <c r="I12" i="6"/>
  <c r="J31" i="6"/>
  <c r="C35" i="9"/>
  <c r="J23" i="5"/>
  <c r="I34" i="5"/>
  <c r="I10" i="5"/>
  <c r="I22" i="5"/>
  <c r="J4" i="6"/>
  <c r="J2" i="6"/>
  <c r="J25" i="6"/>
  <c r="C35" i="7"/>
  <c r="G37" i="7"/>
  <c r="J28" i="5"/>
  <c r="J21" i="6"/>
  <c r="J17" i="6"/>
  <c r="J3" i="6"/>
  <c r="I27" i="5"/>
  <c r="I15" i="5"/>
  <c r="I3" i="5"/>
  <c r="J19" i="6"/>
  <c r="I33" i="5"/>
  <c r="I21" i="5"/>
  <c r="I9" i="5"/>
  <c r="I30" i="5"/>
  <c r="I18" i="5"/>
  <c r="I6" i="5"/>
  <c r="I34" i="6"/>
  <c r="I10" i="6"/>
  <c r="I22" i="6"/>
  <c r="J26" i="6"/>
  <c r="J29" i="6"/>
  <c r="J15" i="6"/>
  <c r="J7" i="6"/>
  <c r="J28" i="6"/>
  <c r="J33" i="6"/>
  <c r="I32" i="6"/>
  <c r="I20" i="6"/>
  <c r="I8" i="6"/>
  <c r="I30" i="6"/>
  <c r="I18" i="6"/>
  <c r="I6" i="6"/>
  <c r="I31" i="5"/>
  <c r="I19" i="5"/>
  <c r="I7" i="5"/>
  <c r="G39" i="9"/>
  <c r="J4" i="5"/>
  <c r="I31" i="3"/>
  <c r="J31" i="3" s="1"/>
  <c r="I19" i="3"/>
  <c r="J19" i="3" s="1"/>
  <c r="I7" i="3"/>
  <c r="J7" i="3" s="1"/>
  <c r="I38" i="5"/>
  <c r="I2" i="5"/>
  <c r="I14" i="5"/>
  <c r="I26" i="5"/>
  <c r="J27" i="6"/>
  <c r="J11" i="5"/>
  <c r="J23" i="6"/>
  <c r="C35" i="10"/>
  <c r="I29" i="5"/>
  <c r="I17" i="5"/>
  <c r="I5" i="5"/>
  <c r="C35" i="8"/>
  <c r="G40" i="8" s="1"/>
  <c r="J13" i="1"/>
  <c r="J4" i="1"/>
  <c r="J30" i="1"/>
  <c r="J25" i="1"/>
  <c r="J9" i="1"/>
  <c r="J18" i="1"/>
  <c r="I29" i="1"/>
  <c r="I17" i="1"/>
  <c r="I5" i="1"/>
  <c r="J28" i="1"/>
  <c r="J33" i="1"/>
  <c r="J8" i="1"/>
  <c r="J14" i="1"/>
  <c r="I31" i="1"/>
  <c r="I19" i="1"/>
  <c r="I7" i="1"/>
  <c r="J21" i="1"/>
  <c r="G6" i="16" l="1" a="1"/>
  <c r="G6" i="16" s="1"/>
  <c r="F6" i="16" a="1"/>
  <c r="F6" i="16" s="1"/>
  <c r="H31" i="18" a="1"/>
  <c r="H31" i="18" s="1"/>
  <c r="H6" i="16" a="1"/>
  <c r="H6" i="16" s="1"/>
  <c r="G31" i="18"/>
  <c r="E6" i="16"/>
  <c r="I31" i="18" a="1"/>
  <c r="I31" i="18" s="1"/>
  <c r="F31" i="18" a="1"/>
  <c r="F31" i="18" s="1"/>
  <c r="D6" i="16" a="1"/>
  <c r="D6" i="16" s="1"/>
  <c r="I38" i="20"/>
  <c r="G39" i="20"/>
  <c r="H39" i="20" s="1"/>
  <c r="J40" i="20" s="1"/>
  <c r="I41" i="19"/>
  <c r="H41" i="19"/>
  <c r="J42" i="19" s="1"/>
  <c r="K42" i="19" s="1"/>
  <c r="C66" i="18"/>
  <c r="G70" i="18"/>
  <c r="C22" i="12"/>
  <c r="I35" i="1"/>
  <c r="C21" i="13"/>
  <c r="F22" i="13"/>
  <c r="T2" i="3"/>
  <c r="I3" i="1"/>
  <c r="J3" i="1" s="1"/>
  <c r="I15" i="1"/>
  <c r="J15" i="1" s="1"/>
  <c r="I27" i="1"/>
  <c r="J27" i="1" s="1"/>
  <c r="I12" i="1"/>
  <c r="J12" i="1" s="1"/>
  <c r="I36" i="1"/>
  <c r="I24" i="1"/>
  <c r="J24" i="1" s="1"/>
  <c r="T1" i="3"/>
  <c r="K2" i="3" s="1"/>
  <c r="L2" i="3" s="1"/>
  <c r="I23" i="1"/>
  <c r="J23" i="1" s="1"/>
  <c r="C15" i="14"/>
  <c r="F17" i="14" s="1"/>
  <c r="F16" i="14"/>
  <c r="J5" i="5"/>
  <c r="J18" i="6"/>
  <c r="J10" i="6"/>
  <c r="J33" i="5"/>
  <c r="C36" i="7"/>
  <c r="C37" i="7" s="1"/>
  <c r="C38" i="7" s="1"/>
  <c r="C39" i="7" s="1"/>
  <c r="C40" i="7" s="1"/>
  <c r="C36" i="9"/>
  <c r="J25" i="5"/>
  <c r="J17" i="5"/>
  <c r="C36" i="10"/>
  <c r="H36" i="10"/>
  <c r="J26" i="5"/>
  <c r="J19" i="5"/>
  <c r="J30" i="6"/>
  <c r="J27" i="5"/>
  <c r="J10" i="5"/>
  <c r="C34" i="11"/>
  <c r="J7" i="5"/>
  <c r="J32" i="6"/>
  <c r="J30" i="5"/>
  <c r="J15" i="5"/>
  <c r="J22" i="5"/>
  <c r="J24" i="6"/>
  <c r="J29" i="5"/>
  <c r="J14" i="5"/>
  <c r="J31" i="5"/>
  <c r="J8" i="6"/>
  <c r="J6" i="5"/>
  <c r="J9" i="5"/>
  <c r="G40" i="9"/>
  <c r="J2" i="5"/>
  <c r="J6" i="6"/>
  <c r="J20" i="6"/>
  <c r="J22" i="6"/>
  <c r="J18" i="5"/>
  <c r="J21" i="5"/>
  <c r="J3" i="5"/>
  <c r="G38" i="7"/>
  <c r="J12" i="6"/>
  <c r="J13" i="5"/>
  <c r="C36" i="8"/>
  <c r="G41" i="8" s="1"/>
  <c r="K15" i="3"/>
  <c r="L15" i="3" s="1"/>
  <c r="J31" i="1"/>
  <c r="J29" i="1"/>
  <c r="J7" i="1"/>
  <c r="J5" i="1"/>
  <c r="J19" i="1"/>
  <c r="J17" i="1"/>
  <c r="I39" i="20" l="1"/>
  <c r="G40" i="20"/>
  <c r="G42" i="19"/>
  <c r="C67" i="18"/>
  <c r="D66" i="18"/>
  <c r="G71" i="18"/>
  <c r="C23" i="12"/>
  <c r="F26" i="12"/>
  <c r="F24" i="12"/>
  <c r="C22" i="13"/>
  <c r="F25" i="12"/>
  <c r="K24" i="3"/>
  <c r="L24" i="3" s="1"/>
  <c r="F23" i="13"/>
  <c r="K33" i="3"/>
  <c r="L33" i="3" s="1"/>
  <c r="K35" i="3"/>
  <c r="L35" i="3" s="1"/>
  <c r="G42" i="7"/>
  <c r="K26" i="3"/>
  <c r="L26" i="3" s="1"/>
  <c r="K22" i="3"/>
  <c r="L22" i="3" s="1"/>
  <c r="K11" i="3"/>
  <c r="L11" i="3" s="1"/>
  <c r="K4" i="3"/>
  <c r="L4" i="3" s="1"/>
  <c r="K19" i="3"/>
  <c r="L19" i="3" s="1"/>
  <c r="K27" i="3"/>
  <c r="L27" i="3" s="1"/>
  <c r="K20" i="3"/>
  <c r="L20" i="3" s="1"/>
  <c r="K31" i="3"/>
  <c r="L31" i="3" s="1"/>
  <c r="K38" i="3"/>
  <c r="L38" i="3" s="1"/>
  <c r="G41" i="7"/>
  <c r="K5" i="3"/>
  <c r="L5" i="3" s="1"/>
  <c r="K8" i="3"/>
  <c r="L8" i="3" s="1"/>
  <c r="K17" i="3"/>
  <c r="L17" i="3" s="1"/>
  <c r="K9" i="3"/>
  <c r="L9" i="3" s="1"/>
  <c r="K13" i="3"/>
  <c r="L13" i="3" s="1"/>
  <c r="K6" i="3"/>
  <c r="L6" i="3" s="1"/>
  <c r="K18" i="3"/>
  <c r="L18" i="3" s="1"/>
  <c r="K37" i="3"/>
  <c r="L37" i="3" s="1"/>
  <c r="K28" i="3"/>
  <c r="L28" i="3" s="1"/>
  <c r="K32" i="3"/>
  <c r="L32" i="3" s="1"/>
  <c r="T2" i="1"/>
  <c r="K25" i="3"/>
  <c r="L25" i="3" s="1"/>
  <c r="K29" i="3"/>
  <c r="L29" i="3" s="1"/>
  <c r="K3" i="3"/>
  <c r="L3" i="3" s="1"/>
  <c r="K30" i="3"/>
  <c r="L30" i="3" s="1"/>
  <c r="K36" i="3"/>
  <c r="L36" i="3" s="1"/>
  <c r="T2" i="6"/>
  <c r="K23" i="3"/>
  <c r="L23" i="3" s="1"/>
  <c r="K12" i="3"/>
  <c r="L12" i="3" s="1"/>
  <c r="K16" i="3"/>
  <c r="L16" i="3" s="1"/>
  <c r="K34" i="3"/>
  <c r="L34" i="3" s="1"/>
  <c r="K21" i="3"/>
  <c r="L21" i="3" s="1"/>
  <c r="K10" i="3"/>
  <c r="L10" i="3" s="1"/>
  <c r="K14" i="3"/>
  <c r="L14" i="3" s="1"/>
  <c r="K7" i="3"/>
  <c r="L7" i="3" s="1"/>
  <c r="C16" i="14"/>
  <c r="G40" i="7"/>
  <c r="C37" i="9"/>
  <c r="G42" i="9" s="1"/>
  <c r="G41" i="9"/>
  <c r="C37" i="10"/>
  <c r="H38" i="10" s="1"/>
  <c r="H37" i="10"/>
  <c r="T1" i="6"/>
  <c r="T2" i="5"/>
  <c r="T1" i="5"/>
  <c r="C35" i="11"/>
  <c r="G39" i="11"/>
  <c r="G39" i="7"/>
  <c r="G43" i="7"/>
  <c r="C41" i="7"/>
  <c r="C37" i="8"/>
  <c r="T1" i="1"/>
  <c r="K38" i="1" s="1"/>
  <c r="L38" i="1" s="1"/>
  <c r="I40" i="20" l="1"/>
  <c r="H40" i="20"/>
  <c r="J41" i="20" s="1"/>
  <c r="H42" i="19"/>
  <c r="J43" i="19" s="1"/>
  <c r="K43" i="19" s="1"/>
  <c r="I42" i="19"/>
  <c r="G72" i="18"/>
  <c r="C68" i="18"/>
  <c r="D67" i="18"/>
  <c r="C23" i="13"/>
  <c r="F25" i="13" s="1"/>
  <c r="F24" i="13"/>
  <c r="C17" i="14"/>
  <c r="F19" i="14" s="1"/>
  <c r="F18" i="14"/>
  <c r="K35" i="6"/>
  <c r="L35" i="6" s="1"/>
  <c r="K6" i="6"/>
  <c r="L6" i="6" s="1"/>
  <c r="K10" i="6"/>
  <c r="L10" i="6" s="1"/>
  <c r="K14" i="6"/>
  <c r="L14" i="6" s="1"/>
  <c r="K18" i="6"/>
  <c r="L18" i="6" s="1"/>
  <c r="K22" i="6"/>
  <c r="L22" i="6" s="1"/>
  <c r="K26" i="6"/>
  <c r="L26" i="6" s="1"/>
  <c r="K30" i="6"/>
  <c r="L30" i="6" s="1"/>
  <c r="K32" i="6"/>
  <c r="L32" i="6" s="1"/>
  <c r="K36" i="6"/>
  <c r="L36" i="6" s="1"/>
  <c r="K3" i="6"/>
  <c r="L3" i="6" s="1"/>
  <c r="K7" i="6"/>
  <c r="L7" i="6" s="1"/>
  <c r="K11" i="6"/>
  <c r="L11" i="6" s="1"/>
  <c r="K15" i="6"/>
  <c r="L15" i="6" s="1"/>
  <c r="K19" i="6"/>
  <c r="L19" i="6" s="1"/>
  <c r="K23" i="6"/>
  <c r="L23" i="6" s="1"/>
  <c r="K27" i="6"/>
  <c r="L27" i="6" s="1"/>
  <c r="K31" i="6"/>
  <c r="L31" i="6" s="1"/>
  <c r="K33" i="6"/>
  <c r="L33" i="6" s="1"/>
  <c r="K37" i="6"/>
  <c r="L37" i="6" s="1"/>
  <c r="K4" i="6"/>
  <c r="L4" i="6" s="1"/>
  <c r="K8" i="6"/>
  <c r="L8" i="6" s="1"/>
  <c r="K12" i="6"/>
  <c r="L12" i="6" s="1"/>
  <c r="K16" i="6"/>
  <c r="L16" i="6" s="1"/>
  <c r="K20" i="6"/>
  <c r="L20" i="6" s="1"/>
  <c r="K24" i="6"/>
  <c r="L24" i="6" s="1"/>
  <c r="K28" i="6"/>
  <c r="L28" i="6" s="1"/>
  <c r="K2" i="6"/>
  <c r="L2" i="6" s="1"/>
  <c r="K34" i="6"/>
  <c r="L34" i="6" s="1"/>
  <c r="K38" i="6"/>
  <c r="L38" i="6" s="1"/>
  <c r="K5" i="6"/>
  <c r="L5" i="6" s="1"/>
  <c r="K9" i="6"/>
  <c r="L9" i="6" s="1"/>
  <c r="K13" i="6"/>
  <c r="L13" i="6" s="1"/>
  <c r="K17" i="6"/>
  <c r="L17" i="6" s="1"/>
  <c r="K21" i="6"/>
  <c r="L21" i="6" s="1"/>
  <c r="K25" i="6"/>
  <c r="L25" i="6" s="1"/>
  <c r="K29" i="6"/>
  <c r="L29" i="6" s="1"/>
  <c r="C38" i="10"/>
  <c r="H39" i="10" s="1"/>
  <c r="C38" i="9"/>
  <c r="K36" i="5"/>
  <c r="L36" i="5" s="1"/>
  <c r="K3" i="5"/>
  <c r="L3" i="5" s="1"/>
  <c r="K7" i="5"/>
  <c r="L7" i="5" s="1"/>
  <c r="K11" i="5"/>
  <c r="L11" i="5" s="1"/>
  <c r="K15" i="5"/>
  <c r="L15" i="5" s="1"/>
  <c r="K19" i="5"/>
  <c r="L19" i="5" s="1"/>
  <c r="K23" i="5"/>
  <c r="L23" i="5" s="1"/>
  <c r="K27" i="5"/>
  <c r="L27" i="5" s="1"/>
  <c r="K31" i="5"/>
  <c r="L31" i="5" s="1"/>
  <c r="K37" i="5"/>
  <c r="L37" i="5" s="1"/>
  <c r="K4" i="5"/>
  <c r="L4" i="5" s="1"/>
  <c r="K8" i="5"/>
  <c r="L8" i="5" s="1"/>
  <c r="K12" i="5"/>
  <c r="L12" i="5" s="1"/>
  <c r="K16" i="5"/>
  <c r="L16" i="5" s="1"/>
  <c r="K20" i="5"/>
  <c r="L20" i="5" s="1"/>
  <c r="K24" i="5"/>
  <c r="L24" i="5" s="1"/>
  <c r="K28" i="5"/>
  <c r="L28" i="5" s="1"/>
  <c r="K32" i="5"/>
  <c r="L32" i="5" s="1"/>
  <c r="K38" i="5"/>
  <c r="L38" i="5" s="1"/>
  <c r="K5" i="5"/>
  <c r="L5" i="5" s="1"/>
  <c r="K13" i="5"/>
  <c r="L13" i="5" s="1"/>
  <c r="K21" i="5"/>
  <c r="L21" i="5" s="1"/>
  <c r="K29" i="5"/>
  <c r="L29" i="5" s="1"/>
  <c r="K6" i="5"/>
  <c r="L6" i="5" s="1"/>
  <c r="K14" i="5"/>
  <c r="L14" i="5" s="1"/>
  <c r="K22" i="5"/>
  <c r="L22" i="5" s="1"/>
  <c r="K30" i="5"/>
  <c r="L30" i="5" s="1"/>
  <c r="K35" i="5"/>
  <c r="L35" i="5" s="1"/>
  <c r="K18" i="5"/>
  <c r="L18" i="5" s="1"/>
  <c r="K2" i="5"/>
  <c r="L2" i="5" s="1"/>
  <c r="K34" i="5"/>
  <c r="L34" i="5" s="1"/>
  <c r="K9" i="5"/>
  <c r="L9" i="5" s="1"/>
  <c r="K17" i="5"/>
  <c r="L17" i="5" s="1"/>
  <c r="K25" i="5"/>
  <c r="L25" i="5" s="1"/>
  <c r="K33" i="5"/>
  <c r="L33" i="5" s="1"/>
  <c r="K10" i="5"/>
  <c r="L10" i="5" s="1"/>
  <c r="K26" i="5"/>
  <c r="L26" i="5" s="1"/>
  <c r="C36" i="11"/>
  <c r="G40" i="11"/>
  <c r="G44" i="7"/>
  <c r="C42" i="7"/>
  <c r="G42" i="8"/>
  <c r="C38" i="8"/>
  <c r="C39" i="8" s="1"/>
  <c r="K36" i="1"/>
  <c r="L36" i="1" s="1"/>
  <c r="K29" i="1"/>
  <c r="L29" i="1" s="1"/>
  <c r="K25" i="1"/>
  <c r="L25" i="1" s="1"/>
  <c r="K21" i="1"/>
  <c r="L21" i="1" s="1"/>
  <c r="K17" i="1"/>
  <c r="L17" i="1" s="1"/>
  <c r="K37" i="1"/>
  <c r="L37" i="1" s="1"/>
  <c r="K33" i="1"/>
  <c r="L33" i="1" s="1"/>
  <c r="K32" i="1"/>
  <c r="L32" i="1" s="1"/>
  <c r="K30" i="1"/>
  <c r="L30" i="1" s="1"/>
  <c r="K26" i="1"/>
  <c r="L26" i="1" s="1"/>
  <c r="K22" i="1"/>
  <c r="L22" i="1" s="1"/>
  <c r="K18" i="1"/>
  <c r="L18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K34" i="1"/>
  <c r="L34" i="1" s="1"/>
  <c r="K31" i="1"/>
  <c r="L31" i="1" s="1"/>
  <c r="K27" i="1"/>
  <c r="L27" i="1" s="1"/>
  <c r="K23" i="1"/>
  <c r="L23" i="1" s="1"/>
  <c r="K19" i="1"/>
  <c r="L19" i="1" s="1"/>
  <c r="K15" i="1"/>
  <c r="L15" i="1" s="1"/>
  <c r="K2" i="1"/>
  <c r="L2" i="1" s="1"/>
  <c r="K35" i="1"/>
  <c r="L35" i="1" s="1"/>
  <c r="K28" i="1"/>
  <c r="L28" i="1" s="1"/>
  <c r="K24" i="1"/>
  <c r="L24" i="1" s="1"/>
  <c r="K20" i="1"/>
  <c r="L20" i="1" s="1"/>
  <c r="K16" i="1"/>
  <c r="L16" i="1" s="1"/>
  <c r="G41" i="20" l="1"/>
  <c r="G43" i="19"/>
  <c r="C69" i="18"/>
  <c r="G74" i="18" s="1"/>
  <c r="D68" i="18"/>
  <c r="G73" i="18"/>
  <c r="F26" i="13"/>
  <c r="C18" i="14"/>
  <c r="F20" i="14" s="1"/>
  <c r="C39" i="10"/>
  <c r="C37" i="11"/>
  <c r="G41" i="11"/>
  <c r="C39" i="9"/>
  <c r="G43" i="9"/>
  <c r="G45" i="7"/>
  <c r="C43" i="7"/>
  <c r="C40" i="8"/>
  <c r="G45" i="8" s="1"/>
  <c r="G43" i="8"/>
  <c r="G44" i="8"/>
  <c r="H41" i="20" l="1"/>
  <c r="J42" i="20" s="1"/>
  <c r="I41" i="20"/>
  <c r="I43" i="19"/>
  <c r="H43" i="19"/>
  <c r="J44" i="19" s="1"/>
  <c r="C70" i="18"/>
  <c r="D69" i="18"/>
  <c r="C19" i="14"/>
  <c r="C40" i="9"/>
  <c r="G45" i="9" s="1"/>
  <c r="G44" i="9"/>
  <c r="C40" i="10"/>
  <c r="H41" i="10" s="1"/>
  <c r="H40" i="10"/>
  <c r="C38" i="11"/>
  <c r="G43" i="11" s="1"/>
  <c r="G42" i="11"/>
  <c r="G46" i="7"/>
  <c r="C44" i="7"/>
  <c r="C41" i="8"/>
  <c r="G42" i="20" l="1"/>
  <c r="K44" i="19"/>
  <c r="G44" i="19"/>
  <c r="G75" i="18"/>
  <c r="D70" i="18"/>
  <c r="C71" i="18"/>
  <c r="F21" i="14"/>
  <c r="C20" i="14"/>
  <c r="C21" i="14" s="1"/>
  <c r="C41" i="10"/>
  <c r="H42" i="10" s="1"/>
  <c r="C41" i="9"/>
  <c r="C39" i="11"/>
  <c r="G44" i="11"/>
  <c r="G47" i="7"/>
  <c r="C45" i="7"/>
  <c r="C42" i="8"/>
  <c r="G46" i="8"/>
  <c r="I42" i="20" l="1"/>
  <c r="H42" i="20"/>
  <c r="J43" i="20" s="1"/>
  <c r="H44" i="19"/>
  <c r="J45" i="19" s="1"/>
  <c r="I44" i="19"/>
  <c r="G76" i="18"/>
  <c r="C72" i="18"/>
  <c r="G77" i="18" s="1"/>
  <c r="D71" i="18"/>
  <c r="C22" i="14"/>
  <c r="F22" i="14"/>
  <c r="F23" i="14"/>
  <c r="C40" i="11"/>
  <c r="G45" i="11" s="1"/>
  <c r="C42" i="9"/>
  <c r="G46" i="9"/>
  <c r="C42" i="10"/>
  <c r="H43" i="10" s="1"/>
  <c r="G48" i="7"/>
  <c r="C46" i="7"/>
  <c r="C43" i="8"/>
  <c r="G47" i="8"/>
  <c r="G43" i="20" l="1"/>
  <c r="H43" i="20" s="1"/>
  <c r="J44" i="20" s="1"/>
  <c r="G45" i="19"/>
  <c r="H45" i="19" s="1"/>
  <c r="J46" i="19" s="1"/>
  <c r="K46" i="19" s="1"/>
  <c r="K45" i="19"/>
  <c r="C73" i="18"/>
  <c r="D72" i="18"/>
  <c r="C23" i="14"/>
  <c r="F26" i="14"/>
  <c r="F24" i="14"/>
  <c r="F25" i="14"/>
  <c r="C43" i="9"/>
  <c r="G47" i="9"/>
  <c r="G48" i="9"/>
  <c r="C43" i="10"/>
  <c r="H44" i="10" s="1"/>
  <c r="C41" i="11"/>
  <c r="G46" i="11" s="1"/>
  <c r="G49" i="7"/>
  <c r="C47" i="7"/>
  <c r="C44" i="8"/>
  <c r="G48" i="8"/>
  <c r="I43" i="20" l="1"/>
  <c r="G44" i="20"/>
  <c r="H44" i="20" s="1"/>
  <c r="I45" i="19"/>
  <c r="G46" i="19"/>
  <c r="I46" i="19" s="1"/>
  <c r="D73" i="18"/>
  <c r="C74" i="18"/>
  <c r="G79" i="18" s="1"/>
  <c r="G78" i="18"/>
  <c r="C42" i="11"/>
  <c r="G47" i="11" s="1"/>
  <c r="C44" i="10"/>
  <c r="C44" i="9"/>
  <c r="G50" i="7"/>
  <c r="C48" i="7"/>
  <c r="G49" i="8"/>
  <c r="C45" i="8"/>
  <c r="I44" i="20" l="1"/>
  <c r="J45" i="20"/>
  <c r="G45" i="20"/>
  <c r="I45" i="20" s="1"/>
  <c r="H46" i="19"/>
  <c r="J47" i="19" s="1"/>
  <c r="K47" i="19" s="1"/>
  <c r="C75" i="18"/>
  <c r="G80" i="18" s="1"/>
  <c r="D74" i="18"/>
  <c r="C45" i="10"/>
  <c r="H46" i="10" s="1"/>
  <c r="C45" i="9"/>
  <c r="G50" i="9" s="1"/>
  <c r="G49" i="9"/>
  <c r="H45" i="10"/>
  <c r="C43" i="11"/>
  <c r="G51" i="7"/>
  <c r="C49" i="7"/>
  <c r="G50" i="8"/>
  <c r="C46" i="8"/>
  <c r="H45" i="20" l="1"/>
  <c r="J46" i="20" s="1"/>
  <c r="G47" i="19"/>
  <c r="H47" i="19" s="1"/>
  <c r="G48" i="19" s="1"/>
  <c r="C76" i="18"/>
  <c r="D75" i="18"/>
  <c r="G48" i="11"/>
  <c r="C44" i="11"/>
  <c r="C46" i="9"/>
  <c r="G51" i="9" s="1"/>
  <c r="C46" i="10"/>
  <c r="G52" i="7"/>
  <c r="C50" i="7"/>
  <c r="G51" i="8"/>
  <c r="C47" i="8"/>
  <c r="G46" i="20" l="1"/>
  <c r="H46" i="20" s="1"/>
  <c r="I47" i="19"/>
  <c r="J48" i="19"/>
  <c r="K48" i="19" s="1"/>
  <c r="I48" i="19"/>
  <c r="H48" i="19"/>
  <c r="J49" i="19" s="1"/>
  <c r="K49" i="19" s="1"/>
  <c r="C77" i="18"/>
  <c r="D76" i="18"/>
  <c r="G81" i="18"/>
  <c r="G49" i="11"/>
  <c r="C47" i="10"/>
  <c r="H48" i="10"/>
  <c r="H47" i="10"/>
  <c r="C47" i="9"/>
  <c r="G52" i="9" s="1"/>
  <c r="C45" i="11"/>
  <c r="G53" i="7"/>
  <c r="C51" i="7"/>
  <c r="G52" i="8"/>
  <c r="C48" i="8"/>
  <c r="I46" i="20" l="1"/>
  <c r="J47" i="20"/>
  <c r="G47" i="20"/>
  <c r="H47" i="20" s="1"/>
  <c r="G49" i="19"/>
  <c r="H49" i="19" s="1"/>
  <c r="J50" i="19" s="1"/>
  <c r="D14" i="16" a="1"/>
  <c r="D14" i="16" s="1"/>
  <c r="E14" i="16"/>
  <c r="F14" i="16" a="1"/>
  <c r="F14" i="16" s="1"/>
  <c r="H14" i="16" a="1"/>
  <c r="H14" i="16" s="1"/>
  <c r="G14" i="16" a="1"/>
  <c r="G14" i="16" s="1"/>
  <c r="I14" i="16" s="1"/>
  <c r="G82" i="18"/>
  <c r="I6" i="16"/>
  <c r="D77" i="18"/>
  <c r="C78" i="18"/>
  <c r="G83" i="18" s="1"/>
  <c r="G50" i="11"/>
  <c r="C46" i="11"/>
  <c r="C48" i="9"/>
  <c r="C48" i="10"/>
  <c r="G54" i="7"/>
  <c r="C52" i="7"/>
  <c r="G53" i="8"/>
  <c r="C49" i="8"/>
  <c r="C50" i="8" s="1"/>
  <c r="C51" i="8" s="1"/>
  <c r="I47" i="20" l="1"/>
  <c r="G48" i="20"/>
  <c r="H48" i="20" s="1"/>
  <c r="J48" i="20"/>
  <c r="I49" i="19"/>
  <c r="G50" i="19"/>
  <c r="I50" i="19" s="1"/>
  <c r="K50" i="19"/>
  <c r="C79" i="18"/>
  <c r="G86" i="18" s="1"/>
  <c r="G51" i="11"/>
  <c r="C52" i="8"/>
  <c r="H49" i="10"/>
  <c r="C49" i="9"/>
  <c r="G54" i="9" s="1"/>
  <c r="G53" i="9"/>
  <c r="C49" i="10"/>
  <c r="C47" i="11"/>
  <c r="C53" i="7"/>
  <c r="G55" i="7"/>
  <c r="G54" i="8"/>
  <c r="G55" i="8"/>
  <c r="I48" i="20" l="1"/>
  <c r="G49" i="20"/>
  <c r="H49" i="20" s="1"/>
  <c r="J50" i="20" s="1"/>
  <c r="J49" i="20"/>
  <c r="H50" i="19"/>
  <c r="J51" i="19" s="1"/>
  <c r="K51" i="19" s="1"/>
  <c r="G85" i="18"/>
  <c r="G84" i="18"/>
  <c r="C53" i="8"/>
  <c r="H50" i="10"/>
  <c r="G52" i="11"/>
  <c r="C54" i="7"/>
  <c r="G56" i="7"/>
  <c r="C48" i="11"/>
  <c r="C50" i="10"/>
  <c r="H51" i="10" s="1"/>
  <c r="C50" i="9"/>
  <c r="I49" i="20" l="1"/>
  <c r="G50" i="20"/>
  <c r="I50" i="20" s="1"/>
  <c r="G51" i="19"/>
  <c r="I51" i="19" s="1"/>
  <c r="C54" i="8"/>
  <c r="G59" i="8" s="1"/>
  <c r="G53" i="11"/>
  <c r="C55" i="7"/>
  <c r="C56" i="7" s="1"/>
  <c r="G57" i="7"/>
  <c r="C51" i="9"/>
  <c r="C52" i="9" s="1"/>
  <c r="G56" i="9"/>
  <c r="G55" i="9"/>
  <c r="C49" i="11"/>
  <c r="G54" i="11" s="1"/>
  <c r="C51" i="10"/>
  <c r="H52" i="10" s="1"/>
  <c r="G56" i="8"/>
  <c r="H50" i="20" l="1"/>
  <c r="J51" i="20" s="1"/>
  <c r="H51" i="19"/>
  <c r="J52" i="19" s="1"/>
  <c r="K52" i="19" s="1"/>
  <c r="C53" i="9"/>
  <c r="C57" i="7"/>
  <c r="G60" i="7" s="1"/>
  <c r="G59" i="7"/>
  <c r="C55" i="8"/>
  <c r="C56" i="8" s="1"/>
  <c r="G58" i="7"/>
  <c r="C54" i="9"/>
  <c r="G57" i="9"/>
  <c r="G58" i="9"/>
  <c r="C52" i="10"/>
  <c r="H53" i="10" s="1"/>
  <c r="C50" i="11"/>
  <c r="G57" i="8"/>
  <c r="G58" i="8"/>
  <c r="G51" i="20" l="1"/>
  <c r="I51" i="20" s="1"/>
  <c r="G52" i="19"/>
  <c r="H52" i="19" s="1"/>
  <c r="J53" i="19" s="1"/>
  <c r="K53" i="19" s="1"/>
  <c r="C58" i="7"/>
  <c r="C57" i="8"/>
  <c r="C58" i="8" s="1"/>
  <c r="G61" i="8"/>
  <c r="G60" i="8"/>
  <c r="G59" i="9"/>
  <c r="C55" i="9"/>
  <c r="G60" i="9" s="1"/>
  <c r="C51" i="11"/>
  <c r="G55" i="11"/>
  <c r="C53" i="10"/>
  <c r="H51" i="20" l="1"/>
  <c r="G52" i="20" s="1"/>
  <c r="H52" i="20" s="1"/>
  <c r="G53" i="20" s="1"/>
  <c r="I53" i="20" s="1"/>
  <c r="I52" i="19"/>
  <c r="G53" i="19"/>
  <c r="I53" i="19" s="1"/>
  <c r="G61" i="7"/>
  <c r="C59" i="7"/>
  <c r="G63" i="8"/>
  <c r="C59" i="8"/>
  <c r="G62" i="8"/>
  <c r="C52" i="11"/>
  <c r="C53" i="11" s="1"/>
  <c r="G56" i="11"/>
  <c r="C56" i="9"/>
  <c r="C54" i="10"/>
  <c r="C55" i="10" s="1"/>
  <c r="H54" i="10"/>
  <c r="J52" i="20" l="1"/>
  <c r="I52" i="20"/>
  <c r="J53" i="20"/>
  <c r="H53" i="20"/>
  <c r="J54" i="20" s="1"/>
  <c r="H53" i="19"/>
  <c r="J54" i="19" s="1"/>
  <c r="K54" i="19" s="1"/>
  <c r="C54" i="11"/>
  <c r="G9" i="15"/>
  <c r="G8" i="15"/>
  <c r="G62" i="7"/>
  <c r="C60" i="7"/>
  <c r="G64" i="8"/>
  <c r="C60" i="8"/>
  <c r="G61" i="9"/>
  <c r="G58" i="11"/>
  <c r="C57" i="9"/>
  <c r="H56" i="10"/>
  <c r="C56" i="10"/>
  <c r="G57" i="11"/>
  <c r="H55" i="10"/>
  <c r="G54" i="20" l="1"/>
  <c r="G54" i="19"/>
  <c r="I54" i="19" s="1"/>
  <c r="C55" i="11"/>
  <c r="G63" i="7"/>
  <c r="C61" i="7"/>
  <c r="G65" i="8"/>
  <c r="C61" i="8"/>
  <c r="G62" i="9"/>
  <c r="C58" i="9"/>
  <c r="G59" i="11"/>
  <c r="H57" i="10"/>
  <c r="C57" i="10"/>
  <c r="I54" i="20" l="1"/>
  <c r="H54" i="20"/>
  <c r="J55" i="20" s="1"/>
  <c r="H54" i="19"/>
  <c r="J55" i="19" s="1"/>
  <c r="K55" i="19" s="1"/>
  <c r="C56" i="11"/>
  <c r="G61" i="11"/>
  <c r="G60" i="11"/>
  <c r="G10" i="15"/>
  <c r="G64" i="7"/>
  <c r="C62" i="7"/>
  <c r="G66" i="8"/>
  <c r="C62" i="8"/>
  <c r="G63" i="9"/>
  <c r="C59" i="9"/>
  <c r="H58" i="10"/>
  <c r="C58" i="10"/>
  <c r="G55" i="20" l="1"/>
  <c r="G55" i="19"/>
  <c r="H55" i="19" s="1"/>
  <c r="J56" i="19" s="1"/>
  <c r="C57" i="11"/>
  <c r="G62" i="11" s="1"/>
  <c r="G11" i="15"/>
  <c r="G65" i="7"/>
  <c r="C63" i="7"/>
  <c r="G67" i="8"/>
  <c r="C63" i="8"/>
  <c r="G64" i="9"/>
  <c r="C60" i="9"/>
  <c r="H59" i="10"/>
  <c r="C59" i="10"/>
  <c r="K56" i="19" l="1"/>
  <c r="H55" i="20"/>
  <c r="J56" i="20" s="1"/>
  <c r="I55" i="20"/>
  <c r="I55" i="19"/>
  <c r="G56" i="19"/>
  <c r="C58" i="11"/>
  <c r="G63" i="11"/>
  <c r="G12" i="15"/>
  <c r="G66" i="7"/>
  <c r="G68" i="8"/>
  <c r="C64" i="7"/>
  <c r="C64" i="8"/>
  <c r="H60" i="10"/>
  <c r="C60" i="10"/>
  <c r="G65" i="9"/>
  <c r="C61" i="9"/>
  <c r="G66" i="9" s="1"/>
  <c r="G56" i="20" l="1"/>
  <c r="H56" i="20" s="1"/>
  <c r="J57" i="20" s="1"/>
  <c r="H56" i="19"/>
  <c r="J57" i="19" s="1"/>
  <c r="I56" i="19"/>
  <c r="C59" i="11"/>
  <c r="G14" i="15"/>
  <c r="G13" i="15"/>
  <c r="G67" i="7"/>
  <c r="G69" i="8"/>
  <c r="C65" i="7"/>
  <c r="C65" i="8"/>
  <c r="C62" i="9"/>
  <c r="H61" i="10"/>
  <c r="C61" i="10"/>
  <c r="K57" i="19" l="1"/>
  <c r="I56" i="20"/>
  <c r="G57" i="20"/>
  <c r="H57" i="20" s="1"/>
  <c r="G58" i="20" s="1"/>
  <c r="G57" i="19"/>
  <c r="H57" i="19" s="1"/>
  <c r="G64" i="11"/>
  <c r="C60" i="11"/>
  <c r="G65" i="11" s="1"/>
  <c r="G68" i="7"/>
  <c r="G70" i="8"/>
  <c r="C66" i="7"/>
  <c r="C66" i="8"/>
  <c r="G67" i="9"/>
  <c r="H62" i="10"/>
  <c r="C63" i="9"/>
  <c r="C62" i="10"/>
  <c r="H63" i="10" s="1"/>
  <c r="I57" i="20" l="1"/>
  <c r="J58" i="20"/>
  <c r="I58" i="20"/>
  <c r="H58" i="20"/>
  <c r="G59" i="20" s="1"/>
  <c r="I59" i="20" s="1"/>
  <c r="I57" i="19"/>
  <c r="J58" i="19"/>
  <c r="G58" i="19"/>
  <c r="I58" i="19" s="1"/>
  <c r="C61" i="11"/>
  <c r="G66" i="11"/>
  <c r="G69" i="7"/>
  <c r="C67" i="7"/>
  <c r="G71" i="8"/>
  <c r="C67" i="8"/>
  <c r="G68" i="9"/>
  <c r="C64" i="9"/>
  <c r="C63" i="10"/>
  <c r="K58" i="19" l="1"/>
  <c r="J59" i="20"/>
  <c r="H59" i="20"/>
  <c r="J60" i="20" s="1"/>
  <c r="H58" i="19"/>
  <c r="J59" i="19" s="1"/>
  <c r="K59" i="19" s="1"/>
  <c r="C62" i="11"/>
  <c r="G67" i="11" s="1"/>
  <c r="G70" i="7"/>
  <c r="C68" i="7"/>
  <c r="G72" i="8"/>
  <c r="C68" i="8"/>
  <c r="C69" i="8" s="1"/>
  <c r="G69" i="9"/>
  <c r="C65" i="9"/>
  <c r="H64" i="10"/>
  <c r="C64" i="10"/>
  <c r="G60" i="20" l="1"/>
  <c r="I60" i="20" s="1"/>
  <c r="G59" i="19"/>
  <c r="I59" i="19" s="1"/>
  <c r="C63" i="11"/>
  <c r="G68" i="11"/>
  <c r="C70" i="8"/>
  <c r="C71" i="8" s="1"/>
  <c r="C69" i="7"/>
  <c r="G71" i="7"/>
  <c r="G73" i="8"/>
  <c r="G74" i="8"/>
  <c r="G70" i="9"/>
  <c r="C66" i="9"/>
  <c r="H65" i="10"/>
  <c r="C65" i="10"/>
  <c r="C66" i="10" s="1"/>
  <c r="H60" i="20" l="1"/>
  <c r="G61" i="20" s="1"/>
  <c r="H61" i="20" s="1"/>
  <c r="H59" i="19"/>
  <c r="J60" i="19" s="1"/>
  <c r="C64" i="11"/>
  <c r="G69" i="11"/>
  <c r="C72" i="8"/>
  <c r="C73" i="8" s="1"/>
  <c r="C74" i="8" s="1"/>
  <c r="C75" i="8" s="1"/>
  <c r="G75" i="8"/>
  <c r="G76" i="8"/>
  <c r="C70" i="7"/>
  <c r="G72" i="7"/>
  <c r="G71" i="9"/>
  <c r="C67" i="9"/>
  <c r="H66" i="10"/>
  <c r="K60" i="19" l="1"/>
  <c r="I61" i="20"/>
  <c r="J61" i="20"/>
  <c r="G62" i="20"/>
  <c r="J62" i="20"/>
  <c r="G60" i="19"/>
  <c r="I60" i="19" s="1"/>
  <c r="G80" i="8"/>
  <c r="C76" i="8"/>
  <c r="C71" i="7"/>
  <c r="C65" i="11"/>
  <c r="G70" i="11" s="1"/>
  <c r="G78" i="8"/>
  <c r="G79" i="8"/>
  <c r="G77" i="8"/>
  <c r="G74" i="7"/>
  <c r="G73" i="7"/>
  <c r="G72" i="9"/>
  <c r="C68" i="9"/>
  <c r="H67" i="10"/>
  <c r="C67" i="10"/>
  <c r="H62" i="20" l="1"/>
  <c r="I62" i="20"/>
  <c r="H60" i="19"/>
  <c r="J61" i="19" s="1"/>
  <c r="C78" i="8"/>
  <c r="G82" i="8"/>
  <c r="G81" i="8"/>
  <c r="C66" i="11"/>
  <c r="G71" i="11" s="1"/>
  <c r="C72" i="7"/>
  <c r="C69" i="9"/>
  <c r="H68" i="10"/>
  <c r="C68" i="10"/>
  <c r="G73" i="9"/>
  <c r="K61" i="19" l="1"/>
  <c r="J63" i="20"/>
  <c r="G63" i="20"/>
  <c r="G61" i="19"/>
  <c r="H61" i="19" s="1"/>
  <c r="J62" i="19" s="1"/>
  <c r="K62" i="19" s="1"/>
  <c r="C79" i="8"/>
  <c r="G85" i="8"/>
  <c r="G84" i="8"/>
  <c r="G83" i="8"/>
  <c r="C73" i="7"/>
  <c r="C74" i="7" s="1"/>
  <c r="G75" i="7"/>
  <c r="C67" i="11"/>
  <c r="G72" i="11" s="1"/>
  <c r="C70" i="9"/>
  <c r="C71" i="9" s="1"/>
  <c r="C69" i="10"/>
  <c r="H70" i="10" s="1"/>
  <c r="G74" i="9"/>
  <c r="H69" i="10"/>
  <c r="I63" i="20" l="1"/>
  <c r="H63" i="20"/>
  <c r="G62" i="19"/>
  <c r="I62" i="19" s="1"/>
  <c r="I61" i="19"/>
  <c r="C76" i="7"/>
  <c r="C77" i="7" s="1"/>
  <c r="C78" i="7" s="1"/>
  <c r="G77" i="7"/>
  <c r="G78" i="7"/>
  <c r="G76" i="7"/>
  <c r="C68" i="11"/>
  <c r="C72" i="9"/>
  <c r="G76" i="9"/>
  <c r="G77" i="9"/>
  <c r="G75" i="9"/>
  <c r="C70" i="10"/>
  <c r="G64" i="20" l="1"/>
  <c r="J64" i="20"/>
  <c r="H62" i="19"/>
  <c r="J63" i="19" s="1"/>
  <c r="K63" i="19" s="1"/>
  <c r="G79" i="7"/>
  <c r="G81" i="7"/>
  <c r="G80" i="7"/>
  <c r="C73" i="9"/>
  <c r="C74" i="9" s="1"/>
  <c r="C75" i="9" s="1"/>
  <c r="G73" i="11"/>
  <c r="C71" i="10"/>
  <c r="C69" i="11"/>
  <c r="G74" i="11"/>
  <c r="H71" i="10"/>
  <c r="I64" i="20" l="1"/>
  <c r="H64" i="20"/>
  <c r="G63" i="19"/>
  <c r="H63" i="19" s="1"/>
  <c r="J64" i="19" s="1"/>
  <c r="K64" i="19" s="1"/>
  <c r="C76" i="9"/>
  <c r="C77" i="9" s="1"/>
  <c r="G78" i="9"/>
  <c r="C72" i="10"/>
  <c r="H73" i="10" s="1"/>
  <c r="H72" i="10"/>
  <c r="G80" i="9"/>
  <c r="C70" i="11"/>
  <c r="G79" i="9"/>
  <c r="G65" i="20" l="1"/>
  <c r="J65" i="20"/>
  <c r="G64" i="19"/>
  <c r="H64" i="19" s="1"/>
  <c r="J65" i="19" s="1"/>
  <c r="K65" i="19" s="1"/>
  <c r="I63" i="19"/>
  <c r="C78" i="9"/>
  <c r="G82" i="9"/>
  <c r="G81" i="9"/>
  <c r="C71" i="11"/>
  <c r="C72" i="11" s="1"/>
  <c r="G75" i="11"/>
  <c r="C73" i="10"/>
  <c r="I65" i="20" l="1"/>
  <c r="H65" i="20"/>
  <c r="G66" i="20" s="1"/>
  <c r="I64" i="19"/>
  <c r="G65" i="19"/>
  <c r="H65" i="19" s="1"/>
  <c r="J66" i="19" s="1"/>
  <c r="K66" i="19" s="1"/>
  <c r="C79" i="9"/>
  <c r="G85" i="9"/>
  <c r="G83" i="9"/>
  <c r="G84" i="9"/>
  <c r="G77" i="11"/>
  <c r="C73" i="11"/>
  <c r="C74" i="11" s="1"/>
  <c r="C75" i="11" s="1"/>
  <c r="G76" i="11"/>
  <c r="C74" i="10"/>
  <c r="C75" i="10" s="1"/>
  <c r="H74" i="10"/>
  <c r="J66" i="20" l="1"/>
  <c r="H66" i="20"/>
  <c r="J67" i="20" s="1"/>
  <c r="I66" i="20"/>
  <c r="I65" i="19"/>
  <c r="G66" i="19"/>
  <c r="I66" i="19" s="1"/>
  <c r="C76" i="11"/>
  <c r="G81" i="11" s="1"/>
  <c r="G82" i="11"/>
  <c r="G80" i="11"/>
  <c r="C76" i="10"/>
  <c r="G79" i="11"/>
  <c r="G78" i="11"/>
  <c r="H75" i="10"/>
  <c r="H76" i="10"/>
  <c r="M84" i="20" l="1" a="1"/>
  <c r="M84" i="20" s="1"/>
  <c r="H8" i="16" a="1"/>
  <c r="H8" i="16" s="1"/>
  <c r="L84" i="20" a="1"/>
  <c r="L84" i="20" s="1"/>
  <c r="E8" i="16"/>
  <c r="J84" i="20"/>
  <c r="I84" i="20" a="1"/>
  <c r="I84" i="20" s="1"/>
  <c r="D8" i="16" a="1"/>
  <c r="D8" i="16" s="1"/>
  <c r="F8" i="16" a="1"/>
  <c r="F8" i="16" s="1"/>
  <c r="K84" i="20" a="1"/>
  <c r="K84" i="20" s="1"/>
  <c r="G8" i="16" a="1"/>
  <c r="G8" i="16" s="1"/>
  <c r="I8" i="16" s="1"/>
  <c r="G67" i="20"/>
  <c r="H67" i="20" s="1"/>
  <c r="H66" i="19"/>
  <c r="J67" i="19" s="1"/>
  <c r="C77" i="10"/>
  <c r="H77" i="10"/>
  <c r="K67" i="19" l="1"/>
  <c r="D7" i="16" a="1"/>
  <c r="D7" i="16" s="1"/>
  <c r="I83" i="19" a="1"/>
  <c r="I83" i="19" s="1"/>
  <c r="E7" i="16"/>
  <c r="H7" i="16" a="1"/>
  <c r="H7" i="16" s="1"/>
  <c r="L83" i="19" a="1"/>
  <c r="L83" i="19" s="1"/>
  <c r="F7" i="16" a="1"/>
  <c r="F7" i="16" s="1"/>
  <c r="G7" i="16" a="1"/>
  <c r="G7" i="16" s="1"/>
  <c r="I7" i="16" s="1"/>
  <c r="K83" i="19" a="1"/>
  <c r="K83" i="19" s="1"/>
  <c r="J83" i="19"/>
  <c r="I67" i="20"/>
  <c r="J68" i="20"/>
  <c r="K68" i="20" s="1"/>
  <c r="G68" i="20"/>
  <c r="G67" i="19"/>
  <c r="I67" i="19" s="1"/>
  <c r="C78" i="10"/>
  <c r="H78" i="10"/>
  <c r="I68" i="20" l="1"/>
  <c r="H68" i="20"/>
  <c r="G69" i="20" s="1"/>
  <c r="H67" i="19"/>
  <c r="J68" i="19" s="1"/>
  <c r="K68" i="19" s="1"/>
  <c r="C79" i="10"/>
  <c r="H81" i="10"/>
  <c r="H79" i="10"/>
  <c r="H80" i="10"/>
  <c r="J69" i="20" l="1"/>
  <c r="K69" i="20" s="1"/>
  <c r="H69" i="20"/>
  <c r="J70" i="20" s="1"/>
  <c r="K70" i="20" s="1"/>
  <c r="I69" i="20"/>
  <c r="G68" i="19"/>
  <c r="H68" i="19" s="1"/>
  <c r="J69" i="19" s="1"/>
  <c r="K69" i="19" s="1"/>
  <c r="I68" i="19" l="1"/>
  <c r="G70" i="20"/>
  <c r="I70" i="20" s="1"/>
  <c r="G69" i="19"/>
  <c r="H70" i="20" l="1"/>
  <c r="G71" i="20" s="1"/>
  <c r="H71" i="20" s="1"/>
  <c r="I69" i="19"/>
  <c r="H69" i="19"/>
  <c r="J71" i="20" l="1"/>
  <c r="K71" i="20" s="1"/>
  <c r="I71" i="20"/>
  <c r="J72" i="20"/>
  <c r="K72" i="20" s="1"/>
  <c r="G72" i="20"/>
  <c r="J70" i="19"/>
  <c r="K70" i="19" s="1"/>
  <c r="G70" i="19"/>
  <c r="H72" i="20" l="1"/>
  <c r="J73" i="20" s="1"/>
  <c r="K73" i="20" s="1"/>
  <c r="I72" i="20"/>
  <c r="I70" i="19"/>
  <c r="H70" i="19"/>
  <c r="G71" i="19" s="1"/>
  <c r="I71" i="19" s="1"/>
  <c r="G73" i="20" l="1"/>
  <c r="I73" i="20" s="1"/>
  <c r="H71" i="19"/>
  <c r="J72" i="19" s="1"/>
  <c r="K72" i="19" s="1"/>
  <c r="J71" i="19"/>
  <c r="K71" i="19" s="1"/>
  <c r="G72" i="19" l="1"/>
  <c r="H72" i="19" s="1"/>
  <c r="J73" i="19" s="1"/>
  <c r="K73" i="19" s="1"/>
  <c r="H73" i="20"/>
  <c r="J74" i="20" s="1"/>
  <c r="K74" i="20" s="1"/>
  <c r="I72" i="19" l="1"/>
  <c r="G74" i="20"/>
  <c r="H74" i="20" s="1"/>
  <c r="G73" i="19"/>
  <c r="I73" i="19" s="1"/>
  <c r="I74" i="20" l="1"/>
  <c r="G75" i="20"/>
  <c r="H75" i="20" s="1"/>
  <c r="J75" i="20"/>
  <c r="K75" i="20" s="1"/>
  <c r="H73" i="19"/>
  <c r="J74" i="19" s="1"/>
  <c r="K74" i="19" s="1"/>
  <c r="I75" i="20" l="1"/>
  <c r="J76" i="20"/>
  <c r="K76" i="20" s="1"/>
  <c r="G76" i="20"/>
  <c r="I76" i="20" s="1"/>
  <c r="G74" i="19"/>
  <c r="I74" i="19" s="1"/>
  <c r="H76" i="20" l="1"/>
  <c r="J77" i="20" s="1"/>
  <c r="K77" i="20" s="1"/>
  <c r="H74" i="19"/>
  <c r="J75" i="19" s="1"/>
  <c r="K75" i="19" s="1"/>
  <c r="G77" i="20" l="1"/>
  <c r="I77" i="20" s="1"/>
  <c r="G75" i="19"/>
  <c r="I75" i="19" s="1"/>
  <c r="H77" i="20" l="1"/>
  <c r="J78" i="20" s="1"/>
  <c r="K78" i="20" s="1"/>
  <c r="H75" i="19"/>
  <c r="J76" i="19" s="1"/>
  <c r="K76" i="19" s="1"/>
  <c r="G78" i="20" l="1"/>
  <c r="H78" i="20" s="1"/>
  <c r="G79" i="20" s="1"/>
  <c r="I79" i="20" s="1"/>
  <c r="G76" i="19"/>
  <c r="I76" i="19" s="1"/>
  <c r="H79" i="20" l="1"/>
  <c r="I78" i="20"/>
  <c r="J79" i="20"/>
  <c r="K79" i="20" s="1"/>
  <c r="H76" i="19"/>
  <c r="J77" i="19" s="1"/>
  <c r="K77" i="19" s="1"/>
  <c r="D16" i="16" l="1" a="1"/>
  <c r="D16" i="16" s="1"/>
  <c r="G77" i="19"/>
  <c r="H77" i="19" s="1"/>
  <c r="J78" i="19" s="1"/>
  <c r="H16" i="16" a="1"/>
  <c r="H16" i="16" s="1"/>
  <c r="E16" i="16"/>
  <c r="G16" i="16" a="1"/>
  <c r="G16" i="16" s="1"/>
  <c r="I16" i="16" s="1"/>
  <c r="F16" i="16" a="1"/>
  <c r="F16" i="16" s="1"/>
  <c r="J81" i="20"/>
  <c r="I77" i="19"/>
  <c r="G78" i="19"/>
  <c r="H78" i="19" s="1"/>
  <c r="J79" i="19" s="1"/>
  <c r="K78" i="19"/>
  <c r="I78" i="19" l="1"/>
  <c r="K79" i="19"/>
  <c r="D15" i="16" a="1"/>
  <c r="D15" i="16" s="1"/>
  <c r="E15" i="16"/>
  <c r="G15" i="16" a="1"/>
  <c r="G15" i="16" s="1"/>
  <c r="I15" i="16" s="1"/>
  <c r="H15" i="16" a="1"/>
  <c r="H15" i="16" s="1"/>
  <c r="F15" i="16" a="1"/>
  <c r="F15" i="16" s="1"/>
  <c r="G79" i="19"/>
  <c r="H79" i="19" s="1"/>
  <c r="I79" i="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MUHAMAD FERI FADLI</author>
    <author>tc={F1056DCF-7931-4067-A8EB-2040C9A3F481}</author>
  </authors>
  <commentList>
    <comment ref="B1" authorId="0" shapeId="0" xr:uid="{56D56787-CB32-45EF-9497-5611755F3F31}">
      <text>
        <r>
          <rPr>
            <sz val="9"/>
            <color indexed="81"/>
            <rFont val="Tahoma"/>
            <family val="2"/>
          </rPr>
          <t>-Ini dari kolom current use
-setiap weekly diupdate</t>
        </r>
      </text>
    </comment>
    <comment ref="B64" authorId="1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MUHAMAD FERI FADLI</author>
    <author>tc={933AF690-86A9-4D36-9328-64E00D2B2CFA}</author>
  </authors>
  <commentList>
    <comment ref="B1" authorId="0" shapeId="0" xr:uid="{8EE2E5B3-30A0-4A20-87CF-5E4BDE8672F1}">
      <text>
        <r>
          <rPr>
            <sz val="9"/>
            <color indexed="81"/>
            <rFont val="Tahoma"/>
            <family val="2"/>
          </rPr>
          <t>-Ini dari kolom current use
-setiap weekly diupdate</t>
        </r>
      </text>
    </comment>
    <comment ref="B64" authorId="1" shapeId="0" xr:uid="{933AF690-86A9-4D36-9328-64E00D2B2CFA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tc={6DA2B90C-6C98-484E-9060-3051562FE7EC}</author>
  </authors>
  <commentList>
    <comment ref="B64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tc={905FFF86-4A2F-4FDD-B41F-8C0936999EE0}</author>
  </authors>
  <commentList>
    <comment ref="B61" authorId="0" shapeId="0" xr:uid="{00000000-0006-0000-08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tc={A69F20F1-249E-455E-B3E3-DF87B88304CD}</author>
  </authors>
  <commentList>
    <comment ref="B64" authorId="0" shapeId="0" xr:uid="{00000000-0006-0000-09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tc={156855B2-3D10-449B-A507-1DA91C1ABC6F}</author>
  </authors>
  <commentList>
    <comment ref="B64" authorId="0" shapeId="0" xr:uid="{00000000-0006-0000-0A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tc={4CB9FAEE-E144-4BB2-A4D5-0E935544239F}</author>
  </authors>
  <commentList>
    <comment ref="B8" authorId="0" shapeId="0" xr:uid="{00000000-0006-0000-0B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
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tc={4C22FFA5-83D3-45F0-B3EB-4323476CC0B0}</author>
  </authors>
  <commentList>
    <comment ref="B8" authorId="0" shapeId="0" xr:uid="{00000000-0006-0000-0C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tc={59857943-B565-4D9C-8399-32C4CF2480EE}</author>
  </authors>
  <commentList>
    <comment ref="B8" authorId="0" shapeId="0" xr:uid="{00000000-0006-0000-0D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tc={A69F20F1-249E-455F-B3E3-DF87B88304CD}</author>
  </authors>
  <commentList>
    <comment ref="B5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<sst xmlns="http://schemas.openxmlformats.org/spreadsheetml/2006/main" count="966" uniqueCount="160">
  <si>
    <t>No</t>
  </si>
  <si>
    <t>Year</t>
  </si>
  <si>
    <t>Month</t>
  </si>
  <si>
    <t>Periode</t>
  </si>
  <si>
    <t>Demand</t>
  </si>
  <si>
    <t>MA 4</t>
  </si>
  <si>
    <t>CMA 4</t>
  </si>
  <si>
    <t>St It</t>
  </si>
  <si>
    <t>S Index</t>
  </si>
  <si>
    <t>Deseasonalize</t>
  </si>
  <si>
    <t>Tt</t>
  </si>
  <si>
    <t>Forecast</t>
  </si>
  <si>
    <t>Intercept</t>
  </si>
  <si>
    <t>January</t>
  </si>
  <si>
    <t>Slope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</si>
  <si>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</si>
  <si>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</si>
  <si>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</si>
  <si>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</si>
  <si>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</si>
  <si>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</si>
  <si>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</si>
  <si>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</si>
  <si>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</si>
  <si>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</si>
  <si>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</si>
  <si>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Forecast1</t>
  </si>
  <si>
    <t>Forecast2</t>
  </si>
  <si>
    <t>alpha</t>
  </si>
  <si>
    <t>Forecast_EOM</t>
  </si>
  <si>
    <t>PERIODE2</t>
  </si>
  <si>
    <t>Forecast_4Month</t>
  </si>
  <si>
    <t>Periode2</t>
  </si>
  <si>
    <t>Forecast_4Months</t>
  </si>
  <si>
    <t>Forecast_4months</t>
  </si>
  <si>
    <t>31/04/2024</t>
  </si>
  <si>
    <t>MAE</t>
  </si>
  <si>
    <t>MSE</t>
  </si>
  <si>
    <t>MAPE</t>
  </si>
  <si>
    <t>SES</t>
  </si>
  <si>
    <t>RMSE</t>
  </si>
  <si>
    <t>Error</t>
  </si>
  <si>
    <t>Holt-Winters (Real Statistics)</t>
  </si>
  <si>
    <t>Holt-Winter Additive</t>
  </si>
  <si>
    <t>t</t>
  </si>
  <si>
    <t>qtr</t>
  </si>
  <si>
    <t>y</t>
  </si>
  <si>
    <t>u</t>
  </si>
  <si>
    <t>v</t>
  </si>
  <si>
    <t>s</t>
  </si>
  <si>
    <t>forecast</t>
  </si>
  <si>
    <t>beta</t>
  </si>
  <si>
    <t>gamma</t>
  </si>
  <si>
    <t>Notes</t>
  </si>
  <si>
    <t>SES Opt @</t>
  </si>
  <si>
    <t>opt</t>
  </si>
  <si>
    <t>Net Error</t>
  </si>
  <si>
    <t>Min Error</t>
  </si>
  <si>
    <t>Holt-Winter Multiplicative</t>
  </si>
  <si>
    <t>HWES + Opt</t>
  </si>
  <si>
    <t>HWES x Opt</t>
  </si>
  <si>
    <t>Train (May22-Apr23)</t>
  </si>
  <si>
    <t>UnderPredict</t>
  </si>
  <si>
    <t>OverPredict</t>
  </si>
  <si>
    <t>Not Splitting</t>
  </si>
  <si>
    <t>Train (May21-Apr23)</t>
  </si>
  <si>
    <t>Test (May23-Apr24)</t>
  </si>
  <si>
    <t>Min Error (Max UnderPredict)</t>
  </si>
  <si>
    <t>prediction</t>
  </si>
  <si>
    <t>ARIMA</t>
  </si>
  <si>
    <t>Train (Jan18-Apr23)</t>
  </si>
  <si>
    <t>Exponential Smoothing</t>
  </si>
  <si>
    <t>Holt Winters Exponential Smoothing</t>
  </si>
  <si>
    <t>Exponential Smoothing with Trend &amp; Seasonal component adjustment</t>
  </si>
  <si>
    <t>Method</t>
  </si>
  <si>
    <t>Metrics</t>
  </si>
  <si>
    <t>actual</t>
  </si>
  <si>
    <t>Rencana order</t>
  </si>
  <si>
    <t>forecast per 4 bulan</t>
  </si>
  <si>
    <t>next order sesegera krn produksi kartu bs 3 bulan</t>
  </si>
  <si>
    <t>abis kartu di 22 Aug</t>
  </si>
  <si>
    <t>New design 10 Dec</t>
  </si>
  <si>
    <t>forecast 22 Aug - 10 Dec</t>
  </si>
  <si>
    <t>(4 bulan)</t>
  </si>
  <si>
    <t>Potensi penambahan kartu:</t>
  </si>
  <si>
    <t>acquisition ada perubahan (OTO/SOF) cross sell</t>
  </si>
  <si>
    <t>other JF</t>
  </si>
  <si>
    <t>7 hari dari cust on board not funded, bakal dicall sm tele</t>
  </si>
  <si>
    <t>Apakah ada perbedaan proses pemberian kartu</t>
  </si>
  <si>
    <t>Simple Exponential Smoothing</t>
  </si>
  <si>
    <t>Simple Exponential Smoothing (Optimized)</t>
  </si>
  <si>
    <t>Holt Winter Exp Smoothing (Multiplicative)</t>
  </si>
  <si>
    <t>Holt Winter Exp Smoothing (Additive)</t>
  </si>
  <si>
    <t>Additive</t>
  </si>
  <si>
    <t>&amp;</t>
  </si>
  <si>
    <t>Multiplicative</t>
  </si>
  <si>
    <t>Grand Total</t>
  </si>
  <si>
    <t>2018</t>
  </si>
  <si>
    <t>2019</t>
  </si>
  <si>
    <t>2020</t>
  </si>
  <si>
    <t>2021</t>
  </si>
  <si>
    <t>2022</t>
  </si>
  <si>
    <t>2023</t>
  </si>
  <si>
    <t>2024</t>
  </si>
  <si>
    <t>Qtr1</t>
  </si>
  <si>
    <t>Qtr2</t>
  </si>
  <si>
    <t>Qtr3</t>
  </si>
  <si>
    <t>Qtr4</t>
  </si>
  <si>
    <t>Sum of Demand</t>
  </si>
  <si>
    <t>Years (Periode)</t>
  </si>
  <si>
    <t>Quarters (Periode)</t>
  </si>
  <si>
    <t>Months (Periode)</t>
  </si>
  <si>
    <t>2018 Total</t>
  </si>
  <si>
    <t>2019 Total</t>
  </si>
  <si>
    <t>2020 Total</t>
  </si>
  <si>
    <t>2021 Total</t>
  </si>
  <si>
    <t>2022 Total</t>
  </si>
  <si>
    <t>2023 Total</t>
  </si>
  <si>
    <t>2024 Total</t>
  </si>
  <si>
    <t>Test</t>
  </si>
  <si>
    <t>Train</t>
  </si>
  <si>
    <t>MA</t>
  </si>
  <si>
    <t>Holt-Winters (additive)</t>
  </si>
  <si>
    <t>sig level</t>
  </si>
  <si>
    <t>s.e.</t>
  </si>
  <si>
    <t>lower</t>
  </si>
  <si>
    <t>upper</t>
  </si>
  <si>
    <t>2018 Qtr1</t>
  </si>
  <si>
    <t>2018 Qtr2</t>
  </si>
  <si>
    <t>2018 Qtr3</t>
  </si>
  <si>
    <t>2018 Qtr4</t>
  </si>
  <si>
    <t>2019 Qtr1</t>
  </si>
  <si>
    <t>2019 Qtr2</t>
  </si>
  <si>
    <t>2019 Qtr3</t>
  </si>
  <si>
    <t>2019 Qtr4</t>
  </si>
  <si>
    <t>2020 Qtr1</t>
  </si>
  <si>
    <t>2020 Qtr2</t>
  </si>
  <si>
    <t>2020 Qtr3</t>
  </si>
  <si>
    <t>2020 Qtr4</t>
  </si>
  <si>
    <t>2021 Qtr1</t>
  </si>
  <si>
    <t>2021 Qtr2</t>
  </si>
  <si>
    <t>2021 Qtr3</t>
  </si>
  <si>
    <t>2021 Qtr4</t>
  </si>
  <si>
    <t>2022 Qtr1</t>
  </si>
  <si>
    <t>2022 Qtr2</t>
  </si>
  <si>
    <t>2022 Qtr3</t>
  </si>
  <si>
    <t>2022 Qtr4</t>
  </si>
  <si>
    <t>2023 Qtr1</t>
  </si>
  <si>
    <t>2023 Qtr2</t>
  </si>
  <si>
    <t>2023 Qtr3</t>
  </si>
  <si>
    <t>2023 Qtr4</t>
  </si>
  <si>
    <t>2024 Qtr1</t>
  </si>
  <si>
    <t>checker</t>
  </si>
  <si>
    <t>Result_c</t>
  </si>
  <si>
    <t>SES (Optimized)</t>
  </si>
  <si>
    <t>HWES (Additive)</t>
  </si>
  <si>
    <t>HWES (Multiplicative)</t>
  </si>
  <si>
    <t>MA (1)</t>
  </si>
  <si>
    <t>MA Rank</t>
  </si>
  <si>
    <t>UnderPredict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</si>
</sst>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 * #,##0.00_ ;_ * \-#,##0.00_ ;_ * &quot;-&quot;??_ ;_ @_ "/>
    <numFmt numFmtId="167" formatCode="[$-409]d\-mmm;@"/>
    <numFmt numFmtId="168" formatCode="_(&quot;$&quot;* #,##0_);_(&quot;$&quot;* \(#,##0\);_(&quot;$&quot;* &quot;-&quot;_);_(@_)"/>
    <numFmt numFmtId="169" formatCode="_ * #,##0_ ;_ * \-#,##0_ ;_ * &quot;-&quot;_ ;_ @_ "/>
    <numFmt numFmtId="171" formatCode="_-* #,##0.000_-;\-* #,##0.000_-;_-* &quot;-&quot;_-;_-@_-"/>
    <numFmt numFmtId="173" formatCode="_-* #,##0_-;\-* #,##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5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64"/>
      </bottom>
      <diagonal/>
    </border>
  </borders>
  <cellStyleXfs count="6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166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7" fontId="2" fillId="0" borderId="0"/>
    <xf numFmtId="167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 vertical="center"/>
    </xf>
    <xf numFmtId="166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69" fontId="2" fillId="0" borderId="0" applyFont="0" applyFill="0" applyBorder="0" applyAlignment="0" applyProtection="0">
      <alignment vertical="center"/>
    </xf>
    <xf numFmtId="168" fontId="2" fillId="0" borderId="0" applyFon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67" fontId="2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0" fillId="2" borderId="0" xfId="0" applyFill="1"/>
    <xf numFmtId="165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1" applyFon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2" fontId="0" fillId="3" borderId="0" xfId="0" applyNumberFormat="1" applyFill="1"/>
    <xf numFmtId="164" fontId="0" fillId="3" borderId="0" xfId="1" applyFont="1" applyFill="1"/>
    <xf numFmtId="164" fontId="0" fillId="3" borderId="0" xfId="0" applyNumberFormat="1" applyFill="1"/>
    <xf numFmtId="1" fontId="0" fillId="0" borderId="0" xfId="0" applyNumberFormat="1"/>
    <xf numFmtId="165" fontId="0" fillId="3" borderId="0" xfId="0" applyNumberFormat="1" applyFill="1"/>
    <xf numFmtId="165" fontId="0" fillId="3" borderId="0" xfId="1" applyNumberFormat="1" applyFont="1" applyFill="1"/>
    <xf numFmtId="3" fontId="0" fillId="0" borderId="0" xfId="0" applyNumberFormat="1"/>
    <xf numFmtId="0" fontId="0" fillId="0" borderId="0" xfId="1" applyNumberFormat="1" applyFont="1"/>
    <xf numFmtId="1" fontId="0" fillId="0" borderId="0" xfId="1" applyNumberFormat="1" applyFont="1"/>
    <xf numFmtId="41" fontId="0" fillId="0" borderId="0" xfId="16" applyFont="1"/>
    <xf numFmtId="1" fontId="0" fillId="0" borderId="0" xfId="16" applyNumberFormat="1" applyFont="1"/>
    <xf numFmtId="0" fontId="3" fillId="0" borderId="1" xfId="0" applyFont="1" applyBorder="1" applyAlignment="1">
      <alignment horizontal="center"/>
    </xf>
    <xf numFmtId="0" fontId="22" fillId="0" borderId="0" xfId="0" applyFont="1" applyAlignment="1">
      <alignment horizontal="center"/>
    </xf>
    <xf numFmtId="10" fontId="0" fillId="0" borderId="0" xfId="66" applyNumberFormat="1" applyFont="1"/>
    <xf numFmtId="0" fontId="21" fillId="0" borderId="0" xfId="0" applyFont="1"/>
    <xf numFmtId="0" fontId="0" fillId="0" borderId="10" xfId="0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0" borderId="14" xfId="0" applyFill="1" applyBorder="1"/>
    <xf numFmtId="41" fontId="0" fillId="0" borderId="0" xfId="16" applyFont="1" applyAlignment="1">
      <alignment horizontal="center"/>
    </xf>
    <xf numFmtId="0" fontId="0" fillId="21" borderId="0" xfId="0" applyFill="1"/>
    <xf numFmtId="171" fontId="0" fillId="21" borderId="0" xfId="16" applyNumberFormat="1" applyFont="1" applyFill="1"/>
    <xf numFmtId="43" fontId="0" fillId="22" borderId="0" xfId="0" applyNumberFormat="1" applyFill="1"/>
    <xf numFmtId="0" fontId="0" fillId="22" borderId="0" xfId="0" applyFill="1"/>
    <xf numFmtId="41" fontId="0" fillId="0" borderId="0" xfId="16" applyFont="1" applyBorder="1" applyAlignment="1">
      <alignment horizontal="center"/>
    </xf>
    <xf numFmtId="43" fontId="0" fillId="0" borderId="0" xfId="0" applyNumberFormat="1"/>
    <xf numFmtId="41" fontId="0" fillId="0" borderId="12" xfId="16" applyFont="1" applyBorder="1" applyAlignment="1">
      <alignment horizontal="center"/>
    </xf>
    <xf numFmtId="43" fontId="0" fillId="0" borderId="12" xfId="0" applyNumberFormat="1" applyBorder="1"/>
    <xf numFmtId="41" fontId="0" fillId="0" borderId="13" xfId="16" applyFont="1" applyBorder="1"/>
    <xf numFmtId="43" fontId="0" fillId="20" borderId="14" xfId="0" applyNumberFormat="1" applyFill="1" applyBorder="1"/>
    <xf numFmtId="10" fontId="0" fillId="0" borderId="15" xfId="66" applyNumberFormat="1" applyFont="1" applyBorder="1"/>
    <xf numFmtId="0" fontId="0" fillId="0" borderId="1" xfId="0" applyBorder="1"/>
    <xf numFmtId="41" fontId="0" fillId="0" borderId="1" xfId="16" applyFont="1" applyBorder="1"/>
    <xf numFmtId="0" fontId="0" fillId="0" borderId="0" xfId="0" applyNumberFormat="1"/>
    <xf numFmtId="0" fontId="0" fillId="23" borderId="0" xfId="0" applyFill="1"/>
    <xf numFmtId="41" fontId="0" fillId="0" borderId="0" xfId="16" applyFont="1" applyBorder="1"/>
    <xf numFmtId="41" fontId="0" fillId="0" borderId="0" xfId="0" applyNumberFormat="1"/>
    <xf numFmtId="41" fontId="0" fillId="20" borderId="13" xfId="16" applyFont="1" applyFill="1" applyBorder="1"/>
    <xf numFmtId="41" fontId="0" fillId="0" borderId="14" xfId="16" applyFont="1" applyBorder="1"/>
    <xf numFmtId="0" fontId="0" fillId="0" borderId="0" xfId="0" applyFill="1"/>
    <xf numFmtId="0" fontId="21" fillId="0" borderId="0" xfId="0" applyFont="1" applyFill="1"/>
    <xf numFmtId="41" fontId="0" fillId="0" borderId="0" xfId="16" applyFont="1" applyFill="1"/>
    <xf numFmtId="10" fontId="0" fillId="0" borderId="0" xfId="66" applyNumberFormat="1" applyFont="1" applyFill="1"/>
    <xf numFmtId="173" fontId="0" fillId="0" borderId="0" xfId="0" applyNumberFormat="1" applyFill="1"/>
    <xf numFmtId="41" fontId="0" fillId="0" borderId="0" xfId="0" applyNumberFormat="1" applyFill="1"/>
    <xf numFmtId="0" fontId="22" fillId="0" borderId="17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0" fillId="0" borderId="19" xfId="0" applyBorder="1"/>
    <xf numFmtId="10" fontId="0" fillId="0" borderId="0" xfId="66" applyNumberFormat="1" applyFont="1" applyBorder="1"/>
    <xf numFmtId="0" fontId="0" fillId="0" borderId="20" xfId="0" applyBorder="1"/>
    <xf numFmtId="173" fontId="0" fillId="0" borderId="0" xfId="0" applyNumberFormat="1" applyBorder="1"/>
    <xf numFmtId="43" fontId="0" fillId="0" borderId="0" xfId="0" applyNumberFormat="1" applyBorder="1"/>
    <xf numFmtId="41" fontId="0" fillId="0" borderId="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1" fillId="0" borderId="19" xfId="0" applyFont="1" applyFill="1" applyBorder="1"/>
    <xf numFmtId="0" fontId="22" fillId="0" borderId="0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41" fontId="0" fillId="0" borderId="0" xfId="16" applyFont="1" applyFill="1" applyBorder="1"/>
    <xf numFmtId="10" fontId="0" fillId="0" borderId="0" xfId="66" applyNumberFormat="1" applyFont="1" applyFill="1" applyBorder="1"/>
    <xf numFmtId="173" fontId="0" fillId="0" borderId="0" xfId="0" applyNumberFormat="1" applyFill="1" applyBorder="1"/>
    <xf numFmtId="41" fontId="0" fillId="0" borderId="0" xfId="0" applyNumberFormat="1" applyFill="1" applyBorder="1"/>
    <xf numFmtId="0" fontId="0" fillId="0" borderId="0" xfId="0" applyFill="1" applyBorder="1"/>
    <xf numFmtId="0" fontId="21" fillId="0" borderId="19" xfId="0" applyFont="1" applyBorder="1"/>
    <xf numFmtId="41" fontId="0" fillId="0" borderId="0" xfId="16" applyNumberFormat="1" applyFont="1" applyFill="1" applyBorder="1"/>
    <xf numFmtId="43" fontId="0" fillId="0" borderId="15" xfId="66" applyNumberFormat="1" applyFont="1" applyBorder="1"/>
    <xf numFmtId="0" fontId="22" fillId="0" borderId="0" xfId="0" applyFont="1" applyAlignment="1">
      <alignment horizontal="center" wrapText="1"/>
    </xf>
    <xf numFmtId="0" fontId="22" fillId="0" borderId="0" xfId="0" applyFont="1" applyBorder="1" applyAlignment="1">
      <alignment horizontal="center" wrapText="1"/>
    </xf>
    <xf numFmtId="0" fontId="0" fillId="0" borderId="0" xfId="0" applyBorder="1"/>
    <xf numFmtId="0" fontId="21" fillId="0" borderId="16" xfId="0" applyFont="1" applyFill="1" applyBorder="1"/>
    <xf numFmtId="0" fontId="22" fillId="0" borderId="17" xfId="0" applyFont="1" applyBorder="1" applyAlignment="1">
      <alignment horizontal="center" wrapText="1"/>
    </xf>
    <xf numFmtId="0" fontId="23" fillId="0" borderId="0" xfId="0" applyFont="1"/>
    <xf numFmtId="0" fontId="0" fillId="24" borderId="0" xfId="0" applyFill="1"/>
    <xf numFmtId="0" fontId="24" fillId="0" borderId="0" xfId="0" applyFont="1"/>
    <xf numFmtId="0" fontId="0" fillId="0" borderId="24" xfId="0" applyBorder="1"/>
    <xf numFmtId="0" fontId="0" fillId="0" borderId="26" xfId="0" applyBorder="1"/>
    <xf numFmtId="0" fontId="0" fillId="0" borderId="27" xfId="0" applyBorder="1"/>
    <xf numFmtId="41" fontId="0" fillId="0" borderId="26" xfId="16" applyFont="1" applyFill="1" applyBorder="1"/>
    <xf numFmtId="41" fontId="0" fillId="0" borderId="27" xfId="16" applyFont="1" applyBorder="1"/>
    <xf numFmtId="41" fontId="0" fillId="0" borderId="27" xfId="16" applyFont="1" applyFill="1" applyBorder="1"/>
    <xf numFmtId="10" fontId="0" fillId="0" borderId="26" xfId="66" applyNumberFormat="1" applyFont="1" applyFill="1" applyBorder="1"/>
    <xf numFmtId="10" fontId="0" fillId="0" borderId="27" xfId="66" applyNumberFormat="1" applyFont="1" applyBorder="1"/>
    <xf numFmtId="0" fontId="21" fillId="22" borderId="25" xfId="0" applyFont="1" applyFill="1" applyBorder="1" applyAlignment="1">
      <alignment horizontal="center" vertical="center"/>
    </xf>
    <xf numFmtId="0" fontId="25" fillId="22" borderId="25" xfId="0" applyFont="1" applyFill="1" applyBorder="1" applyAlignment="1">
      <alignment horizontal="center" vertical="center"/>
    </xf>
    <xf numFmtId="0" fontId="25" fillId="22" borderId="25" xfId="0" applyFont="1" applyFill="1" applyBorder="1" applyAlignment="1">
      <alignment horizontal="center" vertical="center" wrapText="1"/>
    </xf>
    <xf numFmtId="0" fontId="0" fillId="0" borderId="0" xfId="0" pivotButton="1"/>
    <xf numFmtId="0" fontId="21" fillId="25" borderId="28" xfId="0" applyFont="1" applyFill="1" applyBorder="1"/>
    <xf numFmtId="0" fontId="21" fillId="0" borderId="28" xfId="0" applyFont="1" applyBorder="1"/>
    <xf numFmtId="0" fontId="21" fillId="0" borderId="0" xfId="0" applyFont="1" applyBorder="1"/>
    <xf numFmtId="0" fontId="0" fillId="0" borderId="29" xfId="0" applyBorder="1"/>
    <xf numFmtId="0" fontId="0" fillId="0" borderId="0" xfId="0" applyBorder="1" applyAlignment="1">
      <alignment horizontal="center"/>
    </xf>
    <xf numFmtId="0" fontId="0" fillId="0" borderId="30" xfId="0" applyBorder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41" fontId="0" fillId="20" borderId="14" xfId="16" applyFont="1" applyFill="1" applyBorder="1"/>
    <xf numFmtId="0" fontId="0" fillId="26" borderId="0" xfId="0" applyFill="1"/>
  </cellXfs>
  <cellStyles count="67">
    <cellStyle name="%" xfId="2" xr:uid="{00000000-0005-0000-0000-000000000000}"/>
    <cellStyle name="20% - Accent1 2" xfId="41" xr:uid="{9217A35C-9F62-406A-A310-A27421B3D402}"/>
    <cellStyle name="20% - Accent2 2" xfId="51" xr:uid="{5CC380B6-6435-4E2E-AC9A-917D34E6B619}"/>
    <cellStyle name="20% - Accent3 2" xfId="55" xr:uid="{2AAE1D80-F476-42F6-8378-845875C35DF7}"/>
    <cellStyle name="20% - Accent4 2" xfId="58" xr:uid="{3B189D71-F4A7-4C67-B65E-754BF9A63306}"/>
    <cellStyle name="20% - Accent5 2" xfId="48" xr:uid="{85C5030F-6AB5-4790-A986-B8D46AD1CDD5}"/>
    <cellStyle name="20% - Accent6 2" xfId="53" xr:uid="{C72346A1-3C1F-43AF-BB45-7C8A11B99279}"/>
    <cellStyle name="40% - Accent1 2" xfId="21" xr:uid="{C5C749EE-69FC-4192-BB2F-0D1ED0968FE8}"/>
    <cellStyle name="40% - Accent2 2" xfId="31" xr:uid="{259CDEFE-82C3-4C05-A2A0-DCCD8289428B}"/>
    <cellStyle name="40% - Accent3 2" xfId="29" xr:uid="{ABB0100F-A4CD-43AF-9733-BCA0A661F0D7}"/>
    <cellStyle name="40% - Accent4 2" xfId="59" xr:uid="{81440FD5-24D9-499B-A224-320F5A1C3A04}"/>
    <cellStyle name="40% - Accent5 2" xfId="61" xr:uid="{C8E3990C-F729-40ED-A514-75F7BBE5CC36}"/>
    <cellStyle name="40% - Accent6 2" xfId="64" xr:uid="{EFAFA3C3-584A-4A90-91F8-2C363A60EF31}"/>
    <cellStyle name="60% - Accent1 2" xfId="47" xr:uid="{A0B1EBC9-A7E0-4DE0-A44F-13FC42F666DE}"/>
    <cellStyle name="60% - Accent2 2" xfId="52" xr:uid="{895EBBAC-1CBF-4164-87F3-96C13F932B35}"/>
    <cellStyle name="60% - Accent3 2" xfId="39" xr:uid="{D6071890-9A55-4355-8458-F2F7EC5C9E84}"/>
    <cellStyle name="60% - Accent4 2" xfId="27" xr:uid="{5A5F9D76-19E2-41E1-A622-C12ED2F3E311}"/>
    <cellStyle name="60% - Accent5 2" xfId="62" xr:uid="{C2B36FEA-7FC2-45C0-8037-66CDD628094C}"/>
    <cellStyle name="60% - Accent6 2" xfId="65" xr:uid="{B0E28B5D-8F7C-4D61-B762-C5A71B9FD145}"/>
    <cellStyle name="Accent1 2" xfId="46" xr:uid="{59A0E4AD-F5B8-4D5E-8666-CAFED0837290}"/>
    <cellStyle name="Accent2 2" xfId="50" xr:uid="{E15DF506-9FC7-4D85-9D32-BD13D5578A85}"/>
    <cellStyle name="Accent3 2" xfId="54" xr:uid="{59BB3002-F328-4F57-91AC-CB186234A487}"/>
    <cellStyle name="Accent4 2" xfId="56" xr:uid="{A318EB28-6DFD-4623-99F4-7702EAC61DF4}"/>
    <cellStyle name="Accent5 2" xfId="60" xr:uid="{4132ED0E-1B82-4D59-8770-BA9F01C3E547}"/>
    <cellStyle name="Accent6 2" xfId="63" xr:uid="{361A789F-856F-4263-ABFD-A8B8AD696F84}"/>
    <cellStyle name="Bad 2" xfId="44" xr:uid="{5CB68C93-369D-4152-8F72-C85D2E741852}"/>
    <cellStyle name="Calculation 2" xfId="40" xr:uid="{1EE8D168-00E4-4BD4-9A7E-54D2FDAF9E16}"/>
    <cellStyle name="CExplanatory Text" xfId="32" xr:uid="{D2C90610-A2E7-4FEB-81C8-E8E789741D37}"/>
    <cellStyle name="Check Cell 2" xfId="26" xr:uid="{20F5544A-F66A-4076-87EF-45AB3C401331}"/>
    <cellStyle name="Comma" xfId="1" builtinId="3"/>
    <cellStyle name="Comma [0]" xfId="16" builtinId="6"/>
    <cellStyle name="Comma [0] 2" xfId="3" xr:uid="{00000000-0005-0000-0000-000003000000}"/>
    <cellStyle name="Comma [0] 2 2" xfId="22" xr:uid="{055D5C60-DFB5-4163-9BE6-FBFF04FC419F}"/>
    <cellStyle name="Comma [0] 3" xfId="18" xr:uid="{440B280E-96E5-472E-93E4-A933D77744E4}"/>
    <cellStyle name="Comma 2" xfId="4" xr:uid="{00000000-0005-0000-0000-000004000000}"/>
    <cellStyle name="Comma 2 2" xfId="5" xr:uid="{00000000-0005-0000-0000-000005000000}"/>
    <cellStyle name="Comma 3" xfId="20" xr:uid="{6CFC4492-8BB9-463F-8B54-59CBE8144010}"/>
    <cellStyle name="Comma 4" xfId="17" xr:uid="{61449D6A-0700-42A8-936B-471CAD097875}"/>
    <cellStyle name="Currency [0] 2" xfId="23" xr:uid="{0D459154-3174-4AB6-9B99-6C08B225556B}"/>
    <cellStyle name="Good 2" xfId="38" xr:uid="{957C90F3-335E-4276-98CE-E5BE7E570BC1}"/>
    <cellStyle name="Heading 1 2" xfId="33" xr:uid="{11CCD09E-9129-4548-ACDA-35B97E2FCEDE}"/>
    <cellStyle name="Heading 2 2" xfId="25" xr:uid="{F8827CD9-B14B-4CE3-A1AE-E2BB222CA35C}"/>
    <cellStyle name="Heading 3 2" xfId="34" xr:uid="{AD81250F-E976-4EF6-9AFC-F6202469C324}"/>
    <cellStyle name="Heading 4 2" xfId="35" xr:uid="{F5B3C26C-3383-46BF-BD22-5A698330AC1C}"/>
    <cellStyle name="Input 2" xfId="36" xr:uid="{E5EE0822-04A3-44E0-A3EE-36E8BADDAAEB}"/>
    <cellStyle name="Linked Cell 2" xfId="42" xr:uid="{F3BD7B10-1277-4937-A822-C66090EC9516}"/>
    <cellStyle name="Neutral 2" xfId="45" xr:uid="{6BB6F6C6-664D-4FCB-B619-8C8A5EA5D408}"/>
    <cellStyle name="Normal" xfId="0" builtinId="0"/>
    <cellStyle name="Normal 2" xfId="6" xr:uid="{00000000-0005-0000-0000-000007000000}"/>
    <cellStyle name="Normal 2 2" xfId="7" xr:uid="{00000000-0005-0000-0000-000008000000}"/>
    <cellStyle name="Normal 2 2 2" xfId="8" xr:uid="{00000000-0005-0000-0000-000009000000}"/>
    <cellStyle name="Normal 2 2 3" xfId="9" xr:uid="{00000000-0005-0000-0000-00000A000000}"/>
    <cellStyle name="Normal 2 3" xfId="49" xr:uid="{AB825ED8-F516-4BBF-9DBF-F82ABA0D649A}"/>
    <cellStyle name="Normal 3" xfId="10" xr:uid="{00000000-0005-0000-0000-00000B000000}"/>
    <cellStyle name="Normal 3 2" xfId="11" xr:uid="{00000000-0005-0000-0000-00000C000000}"/>
    <cellStyle name="Normal 4" xfId="12" xr:uid="{00000000-0005-0000-0000-00000D000000}"/>
    <cellStyle name="Normal 4 2" xfId="13" xr:uid="{00000000-0005-0000-0000-00000E000000}"/>
    <cellStyle name="Normal 5" xfId="19" xr:uid="{B53E7F6A-703D-4A58-9162-C0D6608FFB48}"/>
    <cellStyle name="Note 2" xfId="24" xr:uid="{AC190435-AB74-410C-A658-64E728654479}"/>
    <cellStyle name="Output 2" xfId="37" xr:uid="{B6C849BE-3F25-4CDC-AE5A-351F02A2F537}"/>
    <cellStyle name="Percent" xfId="66" builtinId="5"/>
    <cellStyle name="Style 1" xfId="14" xr:uid="{00000000-0005-0000-0000-00000F000000}"/>
    <cellStyle name="Style 1 2" xfId="15" xr:uid="{00000000-0005-0000-0000-000010000000}"/>
    <cellStyle name="Style 1 3" xfId="57" xr:uid="{806B6C0A-7860-4EC7-A186-71CDEF64DBA1}"/>
    <cellStyle name="Title 2" xfId="30" xr:uid="{B66A1BE9-D5BA-48FE-B57E-69697D7CE99C}"/>
    <cellStyle name="Total 2" xfId="43" xr:uid="{9D4549DC-87DF-4CE5-895F-CF0B1250DFB3}"/>
    <cellStyle name="Warning Text 2" xfId="28" xr:uid="{50A9F125-8C47-4E42-B261-1DCE2AC87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haredStrings" Target="sharedString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- Orange'!$E$1</c:f>
              <c:strCache>
                <c:ptCount val="1"/>
                <c:pt idx="0">
                  <c:v>Demand</c:v>
                </c:pt>
              </c:strCache>
            </c:strRef>
          </c:tx>
          <c:cat>
            <c:numRef>
              <c:f>'Seasonal - Orange'!$D$2:$D$37</c:f>
              <c:numCache>
                <c:formatCode>m/d/yyyy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'Seasonal - Orange'!$E$2:$E$49</c:f>
              <c:numCache>
                <c:formatCode>_(* #,##0_);_(* \(#,##0\);_(* "-"??_);_(@_)</c:formatCode>
                <c:ptCount val="48"/>
                <c:pt idx="0">
                  <c:v>34890</c:v>
                </c:pt>
                <c:pt idx="1">
                  <c:v>25830</c:v>
                </c:pt>
                <c:pt idx="2">
                  <c:v>41054</c:v>
                </c:pt>
                <c:pt idx="3">
                  <c:v>36838</c:v>
                </c:pt>
                <c:pt idx="4">
                  <c:v>56808</c:v>
                </c:pt>
                <c:pt idx="5">
                  <c:v>34939</c:v>
                </c:pt>
                <c:pt idx="6">
                  <c:v>41853</c:v>
                </c:pt>
                <c:pt idx="7">
                  <c:v>58036</c:v>
                </c:pt>
                <c:pt idx="8">
                  <c:v>42879</c:v>
                </c:pt>
                <c:pt idx="9">
                  <c:v>54081</c:v>
                </c:pt>
                <c:pt idx="10">
                  <c:v>31764</c:v>
                </c:pt>
                <c:pt idx="11">
                  <c:v>45101</c:v>
                </c:pt>
                <c:pt idx="12">
                  <c:v>61974</c:v>
                </c:pt>
                <c:pt idx="13">
                  <c:v>37927</c:v>
                </c:pt>
                <c:pt idx="14">
                  <c:v>59679</c:v>
                </c:pt>
                <c:pt idx="15">
                  <c:v>56163</c:v>
                </c:pt>
                <c:pt idx="16">
                  <c:v>118501</c:v>
                </c:pt>
                <c:pt idx="17">
                  <c:v>78698</c:v>
                </c:pt>
                <c:pt idx="18">
                  <c:v>109530</c:v>
                </c:pt>
                <c:pt idx="19">
                  <c:v>116775</c:v>
                </c:pt>
                <c:pt idx="20">
                  <c:v>115435</c:v>
                </c:pt>
                <c:pt idx="21">
                  <c:v>100006</c:v>
                </c:pt>
                <c:pt idx="22">
                  <c:v>105375</c:v>
                </c:pt>
                <c:pt idx="23">
                  <c:v>106477</c:v>
                </c:pt>
                <c:pt idx="24">
                  <c:v>82087</c:v>
                </c:pt>
                <c:pt idx="25">
                  <c:v>90055</c:v>
                </c:pt>
                <c:pt idx="26">
                  <c:v>77921</c:v>
                </c:pt>
                <c:pt idx="27">
                  <c:v>31224</c:v>
                </c:pt>
                <c:pt idx="28">
                  <c:v>23641</c:v>
                </c:pt>
                <c:pt idx="29">
                  <c:v>36735</c:v>
                </c:pt>
                <c:pt idx="30">
                  <c:v>44506</c:v>
                </c:pt>
                <c:pt idx="31">
                  <c:v>55883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9-4F1F-814D-77C131120127}"/>
            </c:ext>
          </c:extLst>
        </c:ser>
        <c:ser>
          <c:idx val="7"/>
          <c:order val="1"/>
          <c:tx>
            <c:strRef>
              <c:f>'Seasonal - Orange'!$L$1</c:f>
              <c:strCache>
                <c:ptCount val="1"/>
                <c:pt idx="0">
                  <c:v>Forecast</c:v>
                </c:pt>
              </c:strCache>
            </c:strRef>
          </c:tx>
          <c:cat>
            <c:numRef>
              <c:f>'Seasonal - Orange'!$D$2:$D$37</c:f>
              <c:numCache>
                <c:formatCode>m/d/yyyy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'Seasonal - Orange'!$L$2:$L$49</c:f>
              <c:numCache>
                <c:formatCode>_(* #,##0.00_);_(* \(#,##0.00\);_(* "-"??_);_(@_)</c:formatCode>
                <c:ptCount val="48"/>
                <c:pt idx="0">
                  <c:v>49547.372959656612</c:v>
                </c:pt>
                <c:pt idx="1">
                  <c:v>43014.659233799241</c:v>
                </c:pt>
                <c:pt idx="2">
                  <c:v>52588.566328417612</c:v>
                </c:pt>
                <c:pt idx="3">
                  <c:v>37343.381988045177</c:v>
                </c:pt>
                <c:pt idx="4">
                  <c:v>55880.141874966677</c:v>
                </c:pt>
                <c:pt idx="5">
                  <c:v>43629.919802250944</c:v>
                </c:pt>
                <c:pt idx="6">
                  <c:v>50789.537617407121</c:v>
                </c:pt>
                <c:pt idx="7">
                  <c:v>62006.520666459961</c:v>
                </c:pt>
                <c:pt idx="8">
                  <c:v>53019.026610697751</c:v>
                </c:pt>
                <c:pt idx="9">
                  <c:v>59163.44172837626</c:v>
                </c:pt>
                <c:pt idx="10">
                  <c:v>48863.203361414162</c:v>
                </c:pt>
                <c:pt idx="11">
                  <c:v>60047.032693815992</c:v>
                </c:pt>
                <c:pt idx="12">
                  <c:v>64658.17986558655</c:v>
                </c:pt>
                <c:pt idx="13">
                  <c:v>55807.99950721769</c:v>
                </c:pt>
                <c:pt idx="14">
                  <c:v>67851.081240011801</c:v>
                </c:pt>
                <c:pt idx="15">
                  <c:v>47925.432510374943</c:v>
                </c:pt>
                <c:pt idx="16">
                  <c:v>71349.679833471761</c:v>
                </c:pt>
                <c:pt idx="17">
                  <c:v>55435.8200709925</c:v>
                </c:pt>
                <c:pt idx="18">
                  <c:v>64229.705398959464</c:v>
                </c:pt>
                <c:pt idx="19">
                  <c:v>78060.946405716531</c:v>
                </c:pt>
                <c:pt idx="20">
                  <c:v>66456.523325128495</c:v>
                </c:pt>
                <c:pt idx="21">
                  <c:v>73848.072519301379</c:v>
                </c:pt>
                <c:pt idx="22">
                  <c:v>60745.499021715565</c:v>
                </c:pt>
                <c:pt idx="23">
                  <c:v>74358.928619170561</c:v>
                </c:pt>
                <c:pt idx="24">
                  <c:v>79768.986771516473</c:v>
                </c:pt>
                <c:pt idx="25">
                  <c:v>68601.339780636146</c:v>
                </c:pt>
                <c:pt idx="26">
                  <c:v>83113.596151605991</c:v>
                </c:pt>
                <c:pt idx="27">
                  <c:v>58507.483032704724</c:v>
                </c:pt>
                <c:pt idx="28">
                  <c:v>86819.217791976844</c:v>
                </c:pt>
                <c:pt idx="29">
                  <c:v>67241.720339734049</c:v>
                </c:pt>
                <c:pt idx="30">
                  <c:v>77669.8731805118</c:v>
                </c:pt>
                <c:pt idx="31">
                  <c:v>94115.372144973109</c:v>
                </c:pt>
                <c:pt idx="32">
                  <c:v>79894.02003955924</c:v>
                </c:pt>
                <c:pt idx="33">
                  <c:v>88532.703310226498</c:v>
                </c:pt>
                <c:pt idx="34">
                  <c:v>72627.79468201696</c:v>
                </c:pt>
                <c:pt idx="35">
                  <c:v>88670.824544525138</c:v>
                </c:pt>
                <c:pt idx="36">
                  <c:v>94879.793677446403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9-4F1F-814D-77C131120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94016"/>
        <c:axId val="251505280"/>
      </c:lineChart>
      <c:dateAx>
        <c:axId val="235094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51505280"/>
        <c:crosses val="autoZero"/>
        <c:auto val="1"/>
        <c:lblOffset val="100"/>
        <c:baseTimeUnit val="months"/>
      </c:dateAx>
      <c:valAx>
        <c:axId val="25150528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35094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Orange'!$B$1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'Exp Smoothing - Orange'!$A$66:$A$77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'Exp Smoothing - Orange'!$B$66:$B$77</c:f>
              <c:numCache>
                <c:formatCode>_(* #,##0_);_(* \(#,##0\);_(* "-"??_);_(@_)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 formatCode="_(* #,##0_);_(* \(#,##0\);_(* &quot;-&quot;_);_(@_)">
                  <c:v>42815</c:v>
                </c:pt>
                <c:pt idx="11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F6-427B-A2F9-5A7F11B816B5}"/>
            </c:ext>
          </c:extLst>
        </c:ser>
        <c:ser>
          <c:idx val="1"/>
          <c:order val="1"/>
          <c:tx>
            <c:strRef>
              <c:f>'Exp Smoothing - Orange'!$C$1</c:f>
              <c:strCache>
                <c:ptCount val="1"/>
                <c:pt idx="0">
                  <c:v>Forecast_EOM</c:v>
                </c:pt>
              </c:strCache>
            </c:strRef>
          </c:tx>
          <c:marker>
            <c:symbol val="none"/>
          </c:marker>
          <c:cat>
            <c:numRef>
              <c:f>'Exp Smoothing - Orange'!$A$66:$A$77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'Exp Smoothing - Orange'!$C$66:$C$77</c:f>
              <c:numCache>
                <c:formatCode>_(* #,##0_);_(* \(#,##0\);_(* "-"??_);_(@_)</c:formatCode>
                <c:ptCount val="12"/>
                <c:pt idx="0">
                  <c:v>36942.206222243731</c:v>
                </c:pt>
                <c:pt idx="1">
                  <c:v>47295.061866673117</c:v>
                </c:pt>
                <c:pt idx="2">
                  <c:v>43933.618560001938</c:v>
                </c:pt>
                <c:pt idx="3">
                  <c:v>36537.685568000583</c:v>
                </c:pt>
                <c:pt idx="4">
                  <c:v>47789.705670400173</c:v>
                </c:pt>
                <c:pt idx="5">
                  <c:v>51063.811701120052</c:v>
                </c:pt>
                <c:pt idx="6">
                  <c:v>44883.643510336013</c:v>
                </c:pt>
                <c:pt idx="7">
                  <c:v>55047.893053100801</c:v>
                </c:pt>
                <c:pt idx="8">
                  <c:v>53218.167915930237</c:v>
                </c:pt>
                <c:pt idx="9">
                  <c:v>52963.950374779073</c:v>
                </c:pt>
                <c:pt idx="10">
                  <c:v>47877.08511243372</c:v>
                </c:pt>
                <c:pt idx="11">
                  <c:v>44333.625533730112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F6-427B-A2F9-5A7F11B81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SES_Q_0.7!$E$2</c:f>
              <c:strCache>
                <c:ptCount val="1"/>
                <c:pt idx="0">
                  <c:v>Sum of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SES_Q_0.7!$D$3:$D$27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SES_Q_0.7!$E$3:$E$27</c:f>
              <c:numCache>
                <c:formatCode>_(* #,##0_);_(* \(#,##0\);_(* "-"_);_(@_)</c:formatCode>
                <c:ptCount val="25"/>
                <c:pt idx="0">
                  <c:v>101774</c:v>
                </c:pt>
                <c:pt idx="1">
                  <c:v>128585</c:v>
                </c:pt>
                <c:pt idx="2">
                  <c:v>142768</c:v>
                </c:pt>
                <c:pt idx="3">
                  <c:v>130946</c:v>
                </c:pt>
                <c:pt idx="4">
                  <c:v>159580</c:v>
                </c:pt>
                <c:pt idx="5">
                  <c:v>253362</c:v>
                </c:pt>
                <c:pt idx="6">
                  <c:v>341740</c:v>
                </c:pt>
                <c:pt idx="7">
                  <c:v>311858</c:v>
                </c:pt>
                <c:pt idx="8">
                  <c:v>250063</c:v>
                </c:pt>
                <c:pt idx="9">
                  <c:v>91600</c:v>
                </c:pt>
                <c:pt idx="10">
                  <c:v>169303</c:v>
                </c:pt>
                <c:pt idx="11">
                  <c:v>190752</c:v>
                </c:pt>
                <c:pt idx="12">
                  <c:v>180074</c:v>
                </c:pt>
                <c:pt idx="13">
                  <c:v>53804</c:v>
                </c:pt>
                <c:pt idx="14">
                  <c:v>29102</c:v>
                </c:pt>
                <c:pt idx="15">
                  <c:v>68234</c:v>
                </c:pt>
                <c:pt idx="16">
                  <c:v>114171</c:v>
                </c:pt>
                <c:pt idx="17">
                  <c:v>107045</c:v>
                </c:pt>
                <c:pt idx="18">
                  <c:v>115175</c:v>
                </c:pt>
                <c:pt idx="19">
                  <c:v>121668</c:v>
                </c:pt>
                <c:pt idx="20">
                  <c:v>114967</c:v>
                </c:pt>
                <c:pt idx="21">
                  <c:v>128202</c:v>
                </c:pt>
                <c:pt idx="22">
                  <c:v>138447</c:v>
                </c:pt>
                <c:pt idx="23">
                  <c:v>154073</c:v>
                </c:pt>
                <c:pt idx="24">
                  <c:v>141367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C-4A96-AF99-4E7AE60B12E4}"/>
            </c:ext>
          </c:extLst>
        </c:ser>
        <c:ser>
          <c:idx val="1"/>
          <c:order val="1"/>
          <c:tx>
            <c:strRef>
              <c:f>SES_Q_0.7!$F$2</c:f>
              <c:strCache>
                <c:ptCount val="1"/>
                <c:pt idx="0">
                  <c:v>Forecast_EOM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SES_Q_0.7!$D$3:$D$27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SES_Q_0.7!$F$3:$F$27</c:f>
              <c:numCache>
                <c:formatCode>_(* #,##0_);_(* \(#,##0\);_(* "-"??_);_(@_)</c:formatCode>
                <c:ptCount val="25"/>
                <c:pt idx="0" formatCode="_(* #,##0_);_(* \(#,##0\);_(* &quot;-&quot;_);_(@_)">
                  <c:v>101774</c:v>
                </c:pt>
                <c:pt idx="1">
                  <c:v>101774</c:v>
                </c:pt>
                <c:pt idx="2">
                  <c:v>120541.70000000001</c:v>
                </c:pt>
                <c:pt idx="3">
                  <c:v>136100.10999999999</c:v>
                </c:pt>
                <c:pt idx="4">
                  <c:v>132492.23300000001</c:v>
                </c:pt>
                <c:pt idx="5">
                  <c:v>151453.66990000001</c:v>
                </c:pt>
                <c:pt idx="6">
                  <c:v>222789.50096999999</c:v>
                </c:pt>
                <c:pt idx="7">
                  <c:v>306054.85029099998</c:v>
                </c:pt>
                <c:pt idx="8">
                  <c:v>310117.05508730002</c:v>
                </c:pt>
                <c:pt idx="9">
                  <c:v>268079.21652618999</c:v>
                </c:pt>
                <c:pt idx="10">
                  <c:v>144543.764957857</c:v>
                </c:pt>
                <c:pt idx="11">
                  <c:v>161875.22948735708</c:v>
                </c:pt>
                <c:pt idx="12">
                  <c:v>182088.96884620714</c:v>
                </c:pt>
                <c:pt idx="13">
                  <c:v>180678.49065386213</c:v>
                </c:pt>
                <c:pt idx="14">
                  <c:v>91866.347196158633</c:v>
                </c:pt>
                <c:pt idx="15">
                  <c:v>47931.30415884759</c:v>
                </c:pt>
                <c:pt idx="16">
                  <c:v>62143.191247654278</c:v>
                </c:pt>
                <c:pt idx="17">
                  <c:v>98562.657374296279</c:v>
                </c:pt>
                <c:pt idx="18">
                  <c:v>104500.29721228889</c:v>
                </c:pt>
                <c:pt idx="19">
                  <c:v>111972.58916368667</c:v>
                </c:pt>
                <c:pt idx="20">
                  <c:v>118759.376749106</c:v>
                </c:pt>
                <c:pt idx="21">
                  <c:v>116104.7130247318</c:v>
                </c:pt>
                <c:pt idx="22">
                  <c:v>124572.81390741954</c:v>
                </c:pt>
                <c:pt idx="23">
                  <c:v>134284.74417222585</c:v>
                </c:pt>
                <c:pt idx="24">
                  <c:v>148136.52325166774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5C-4A96-AF99-4E7AE60B1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33504"/>
        <c:axId val="1093135424"/>
      </c:lineChart>
      <c:catAx>
        <c:axId val="109313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35424"/>
        <c:crosses val="autoZero"/>
        <c:auto val="1"/>
        <c:lblAlgn val="ctr"/>
        <c:lblOffset val="100"/>
        <c:noMultiLvlLbl val="0"/>
      </c:catAx>
      <c:valAx>
        <c:axId val="10931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SES_Q_Opt!$E$2</c:f>
              <c:strCache>
                <c:ptCount val="1"/>
                <c:pt idx="0">
                  <c:v>Sum of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SES_Q_Opt!$D$3:$D$27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SES_Q_Opt!$E$3:$E$27</c:f>
              <c:numCache>
                <c:formatCode>_(* #,##0_);_(* \(#,##0\);_(* "-"_);_(@_)</c:formatCode>
                <c:ptCount val="25"/>
                <c:pt idx="0">
                  <c:v>101774</c:v>
                </c:pt>
                <c:pt idx="1">
                  <c:v>128585</c:v>
                </c:pt>
                <c:pt idx="2">
                  <c:v>142768</c:v>
                </c:pt>
                <c:pt idx="3">
                  <c:v>130946</c:v>
                </c:pt>
                <c:pt idx="4">
                  <c:v>159580</c:v>
                </c:pt>
                <c:pt idx="5">
                  <c:v>253362</c:v>
                </c:pt>
                <c:pt idx="6">
                  <c:v>341740</c:v>
                </c:pt>
                <c:pt idx="7">
                  <c:v>311858</c:v>
                </c:pt>
                <c:pt idx="8">
                  <c:v>250063</c:v>
                </c:pt>
                <c:pt idx="9">
                  <c:v>91600</c:v>
                </c:pt>
                <c:pt idx="10">
                  <c:v>169303</c:v>
                </c:pt>
                <c:pt idx="11">
                  <c:v>190752</c:v>
                </c:pt>
                <c:pt idx="12">
                  <c:v>180074</c:v>
                </c:pt>
                <c:pt idx="13">
                  <c:v>53804</c:v>
                </c:pt>
                <c:pt idx="14">
                  <c:v>29102</c:v>
                </c:pt>
                <c:pt idx="15">
                  <c:v>68234</c:v>
                </c:pt>
                <c:pt idx="16">
                  <c:v>114171</c:v>
                </c:pt>
                <c:pt idx="17">
                  <c:v>107045</c:v>
                </c:pt>
                <c:pt idx="18">
                  <c:v>115175</c:v>
                </c:pt>
                <c:pt idx="19">
                  <c:v>121668</c:v>
                </c:pt>
                <c:pt idx="20">
                  <c:v>114967</c:v>
                </c:pt>
                <c:pt idx="21">
                  <c:v>128202</c:v>
                </c:pt>
                <c:pt idx="22">
                  <c:v>138447</c:v>
                </c:pt>
                <c:pt idx="23">
                  <c:v>154073</c:v>
                </c:pt>
                <c:pt idx="24">
                  <c:v>141367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1-4AD0-9F96-C0781F09FFA2}"/>
            </c:ext>
          </c:extLst>
        </c:ser>
        <c:ser>
          <c:idx val="1"/>
          <c:order val="1"/>
          <c:tx>
            <c:strRef>
              <c:f>SES_Q_Opt!$F$2</c:f>
              <c:strCache>
                <c:ptCount val="1"/>
                <c:pt idx="0">
                  <c:v>Forecast_EOM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SES_Q_Opt!$D$3:$D$27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SES_Q_Opt!$F$3:$F$27</c:f>
              <c:numCache>
                <c:formatCode>_(* #,##0_);_(* \(#,##0\);_(* "-"??_);_(@_)</c:formatCode>
                <c:ptCount val="25"/>
                <c:pt idx="0" formatCode="_(* #,##0_);_(* \(#,##0\);_(* &quot;-&quot;_);_(@_)">
                  <c:v>101774</c:v>
                </c:pt>
                <c:pt idx="1">
                  <c:v>101774</c:v>
                </c:pt>
                <c:pt idx="2">
                  <c:v>124809.39923612252</c:v>
                </c:pt>
                <c:pt idx="3">
                  <c:v>140239.01910550645</c:v>
                </c:pt>
                <c:pt idx="4">
                  <c:v>132254.66920418775</c:v>
                </c:pt>
                <c:pt idx="5">
                  <c:v>155731.96972041798</c:v>
                </c:pt>
                <c:pt idx="6">
                  <c:v>239613.46332098873</c:v>
                </c:pt>
                <c:pt idx="7">
                  <c:v>327358.25258672051</c:v>
                </c:pt>
                <c:pt idx="8">
                  <c:v>314040.78935909574</c:v>
                </c:pt>
                <c:pt idx="9">
                  <c:v>259072.53304149024</c:v>
                </c:pt>
                <c:pt idx="10">
                  <c:v>115183.95523031394</c:v>
                </c:pt>
                <c:pt idx="11">
                  <c:v>161681.80322357442</c:v>
                </c:pt>
                <c:pt idx="12">
                  <c:v>186658.25276359924</c:v>
                </c:pt>
                <c:pt idx="13">
                  <c:v>181001.21307537233</c:v>
                </c:pt>
                <c:pt idx="14">
                  <c:v>71716.27089069644</c:v>
                </c:pt>
                <c:pt idx="15">
                  <c:v>35103.062016597491</c:v>
                </c:pt>
                <c:pt idx="16">
                  <c:v>63568.40771481437</c:v>
                </c:pt>
                <c:pt idx="17">
                  <c:v>107044.99999678761</c:v>
                </c:pt>
                <c:pt idx="18">
                  <c:v>107044.99999954762</c:v>
                </c:pt>
                <c:pt idx="19">
                  <c:v>114030.1104318365</c:v>
                </c:pt>
                <c:pt idx="20">
                  <c:v>120592.41081317482</c:v>
                </c:pt>
                <c:pt idx="21">
                  <c:v>115759.18624308484</c:v>
                </c:pt>
                <c:pt idx="22">
                  <c:v>126449.76781450173</c:v>
                </c:pt>
                <c:pt idx="23">
                  <c:v>136757.51587020318</c:v>
                </c:pt>
                <c:pt idx="24">
                  <c:v>151634.5846067894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1-4AD0-9F96-C0781F09F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32544"/>
        <c:axId val="1093145024"/>
      </c:lineChart>
      <c:catAx>
        <c:axId val="10931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45024"/>
        <c:crosses val="autoZero"/>
        <c:auto val="1"/>
        <c:lblAlgn val="ctr"/>
        <c:lblOffset val="100"/>
        <c:noMultiLvlLbl val="0"/>
      </c:catAx>
      <c:valAx>
        <c:axId val="10931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Naive_S_Q!$E$2</c:f>
              <c:strCache>
                <c:ptCount val="1"/>
                <c:pt idx="0">
                  <c:v>Sum of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Naive_S_Q!$D$3:$D$27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Naive_S_Q!$E$3:$E$27</c:f>
              <c:numCache>
                <c:formatCode>_(* #,##0_);_(* \(#,##0\);_(* "-"_);_(@_)</c:formatCode>
                <c:ptCount val="25"/>
                <c:pt idx="0">
                  <c:v>101774</c:v>
                </c:pt>
                <c:pt idx="1">
                  <c:v>128585</c:v>
                </c:pt>
                <c:pt idx="2">
                  <c:v>142768</c:v>
                </c:pt>
                <c:pt idx="3">
                  <c:v>130946</c:v>
                </c:pt>
                <c:pt idx="4">
                  <c:v>159580</c:v>
                </c:pt>
                <c:pt idx="5">
                  <c:v>253362</c:v>
                </c:pt>
                <c:pt idx="6">
                  <c:v>341740</c:v>
                </c:pt>
                <c:pt idx="7">
                  <c:v>311858</c:v>
                </c:pt>
                <c:pt idx="8">
                  <c:v>250063</c:v>
                </c:pt>
                <c:pt idx="9">
                  <c:v>91600</c:v>
                </c:pt>
                <c:pt idx="10">
                  <c:v>169303</c:v>
                </c:pt>
                <c:pt idx="11">
                  <c:v>190752</c:v>
                </c:pt>
                <c:pt idx="12">
                  <c:v>180074</c:v>
                </c:pt>
                <c:pt idx="13">
                  <c:v>53804</c:v>
                </c:pt>
                <c:pt idx="14">
                  <c:v>29102</c:v>
                </c:pt>
                <c:pt idx="15">
                  <c:v>68234</c:v>
                </c:pt>
                <c:pt idx="16">
                  <c:v>114171</c:v>
                </c:pt>
                <c:pt idx="17">
                  <c:v>107045</c:v>
                </c:pt>
                <c:pt idx="18">
                  <c:v>115175</c:v>
                </c:pt>
                <c:pt idx="19">
                  <c:v>121668</c:v>
                </c:pt>
                <c:pt idx="20">
                  <c:v>114967</c:v>
                </c:pt>
                <c:pt idx="21">
                  <c:v>128202</c:v>
                </c:pt>
                <c:pt idx="22">
                  <c:v>138447</c:v>
                </c:pt>
                <c:pt idx="23">
                  <c:v>154073</c:v>
                </c:pt>
                <c:pt idx="24">
                  <c:v>141367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0-49D9-893C-6BEEBA8C8604}"/>
            </c:ext>
          </c:extLst>
        </c:ser>
        <c:ser>
          <c:idx val="1"/>
          <c:order val="1"/>
          <c:tx>
            <c:strRef>
              <c:f>Naive_S_Q!$F$2</c:f>
              <c:strCache>
                <c:ptCount val="1"/>
                <c:pt idx="0">
                  <c:v>Forecast_EOM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Naive_S_Q!$D$3:$D$27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Naive_S_Q!$F$3:$F$27</c:f>
              <c:numCache>
                <c:formatCode>_(* #,##0_);_(* \(#,##0\);_(* "-"_);_(@_)</c:formatCode>
                <c:ptCount val="25"/>
                <c:pt idx="0">
                  <c:v>101774</c:v>
                </c:pt>
                <c:pt idx="1">
                  <c:v>128585</c:v>
                </c:pt>
                <c:pt idx="2">
                  <c:v>142768</c:v>
                </c:pt>
                <c:pt idx="3">
                  <c:v>130946</c:v>
                </c:pt>
                <c:pt idx="4" formatCode="_(* #,##0_);_(* \(#,##0\);_(* &quot;-&quot;??_);_(@_)">
                  <c:v>101774</c:v>
                </c:pt>
                <c:pt idx="5" formatCode="_(* #,##0_);_(* \(#,##0\);_(* &quot;-&quot;??_);_(@_)">
                  <c:v>128585</c:v>
                </c:pt>
                <c:pt idx="6" formatCode="_(* #,##0_);_(* \(#,##0\);_(* &quot;-&quot;??_);_(@_)">
                  <c:v>142768</c:v>
                </c:pt>
                <c:pt idx="7" formatCode="_(* #,##0_);_(* \(#,##0\);_(* &quot;-&quot;??_);_(@_)">
                  <c:v>130946</c:v>
                </c:pt>
                <c:pt idx="8" formatCode="_(* #,##0_);_(* \(#,##0\);_(* &quot;-&quot;??_);_(@_)">
                  <c:v>130677</c:v>
                </c:pt>
                <c:pt idx="9" formatCode="_(* #,##0_);_(* \(#,##0\);_(* &quot;-&quot;??_);_(@_)">
                  <c:v>190973.5</c:v>
                </c:pt>
                <c:pt idx="10" formatCode="_(* #,##0_);_(* \(#,##0\);_(* &quot;-&quot;??_);_(@_)">
                  <c:v>242254</c:v>
                </c:pt>
                <c:pt idx="11" formatCode="_(* #,##0_);_(* \(#,##0\);_(* &quot;-&quot;??_);_(@_)">
                  <c:v>221402</c:v>
                </c:pt>
                <c:pt idx="12" formatCode="_(* #,##0_);_(* \(#,##0\);_(* &quot;-&quot;??_);_(@_)">
                  <c:v>190370</c:v>
                </c:pt>
                <c:pt idx="13" formatCode="_(* #,##0_);_(* \(#,##0\);_(* &quot;-&quot;??_);_(@_)">
                  <c:v>141286.75</c:v>
                </c:pt>
                <c:pt idx="14" formatCode="_(* #,##0_);_(* \(#,##0\);_(* &quot;-&quot;??_);_(@_)">
                  <c:v>205778.5</c:v>
                </c:pt>
                <c:pt idx="15" formatCode="_(* #,##0_);_(* \(#,##0\);_(* &quot;-&quot;??_);_(@_)">
                  <c:v>206077</c:v>
                </c:pt>
                <c:pt idx="16" formatCode="_(* #,##0_);_(* \(#,##0\);_(* &quot;-&quot;??_);_(@_)">
                  <c:v>185222</c:v>
                </c:pt>
                <c:pt idx="17" formatCode="_(* #,##0_);_(* \(#,##0\);_(* &quot;-&quot;??_);_(@_)">
                  <c:v>97545.375</c:v>
                </c:pt>
                <c:pt idx="18" formatCode="_(* #,##0_);_(* \(#,##0\);_(* &quot;-&quot;??_);_(@_)">
                  <c:v>117440.25</c:v>
                </c:pt>
                <c:pt idx="19" formatCode="_(* #,##0_);_(* \(#,##0\);_(* &quot;-&quot;??_);_(@_)">
                  <c:v>137155.5</c:v>
                </c:pt>
                <c:pt idx="20" formatCode="_(* #,##0_);_(* \(#,##0\);_(* &quot;-&quot;??_);_(@_)">
                  <c:v>149696.5</c:v>
                </c:pt>
                <c:pt idx="21" formatCode="_(* #,##0_);_(* \(#,##0\);_(* &quot;-&quot;??_);_(@_)">
                  <c:v>102295.1875</c:v>
                </c:pt>
                <c:pt idx="22" formatCode="_(* #,##0_);_(* \(#,##0\);_(* &quot;-&quot;??_);_(@_)">
                  <c:v>116307.625</c:v>
                </c:pt>
                <c:pt idx="23" formatCode="_(* #,##0_);_(* \(#,##0\);_(* &quot;-&quot;??_);_(@_)">
                  <c:v>129411.75</c:v>
                </c:pt>
                <c:pt idx="24" formatCode="_(* #,##0_);_(* \(#,##0\);_(* &quot;-&quot;??_);_(@_)">
                  <c:v>132331.75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0-49D9-893C-6BEEBA8C8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871440"/>
        <c:axId val="1190870000"/>
      </c:lineChart>
      <c:catAx>
        <c:axId val="119087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870000"/>
        <c:crosses val="autoZero"/>
        <c:auto val="1"/>
        <c:lblAlgn val="ctr"/>
        <c:lblOffset val="100"/>
        <c:noMultiLvlLbl val="0"/>
      </c:catAx>
      <c:valAx>
        <c:axId val="11908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8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HWES_A_Q!$F$3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HWES_A_Q!$E$4:$E$28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HWES_A_Q!$F$4:$F$28</c:f>
              <c:numCache>
                <c:formatCode>General</c:formatCode>
                <c:ptCount val="25"/>
                <c:pt idx="0">
                  <c:v>101774</c:v>
                </c:pt>
                <c:pt idx="1">
                  <c:v>128585</c:v>
                </c:pt>
                <c:pt idx="2">
                  <c:v>142768</c:v>
                </c:pt>
                <c:pt idx="3">
                  <c:v>130946</c:v>
                </c:pt>
                <c:pt idx="4">
                  <c:v>159580</c:v>
                </c:pt>
                <c:pt idx="5">
                  <c:v>253362</c:v>
                </c:pt>
                <c:pt idx="6">
                  <c:v>341740</c:v>
                </c:pt>
                <c:pt idx="7">
                  <c:v>311858</c:v>
                </c:pt>
                <c:pt idx="8">
                  <c:v>250063</c:v>
                </c:pt>
                <c:pt idx="9">
                  <c:v>91600</c:v>
                </c:pt>
                <c:pt idx="10">
                  <c:v>169303</c:v>
                </c:pt>
                <c:pt idx="11">
                  <c:v>190752</c:v>
                </c:pt>
                <c:pt idx="12">
                  <c:v>180074</c:v>
                </c:pt>
                <c:pt idx="13">
                  <c:v>53804</c:v>
                </c:pt>
                <c:pt idx="14">
                  <c:v>29102</c:v>
                </c:pt>
                <c:pt idx="15">
                  <c:v>68234</c:v>
                </c:pt>
                <c:pt idx="16">
                  <c:v>114171</c:v>
                </c:pt>
                <c:pt idx="17">
                  <c:v>107045</c:v>
                </c:pt>
                <c:pt idx="18">
                  <c:v>115175</c:v>
                </c:pt>
                <c:pt idx="19">
                  <c:v>121668</c:v>
                </c:pt>
                <c:pt idx="20">
                  <c:v>114967</c:v>
                </c:pt>
                <c:pt idx="21">
                  <c:v>128202</c:v>
                </c:pt>
                <c:pt idx="22">
                  <c:v>138447</c:v>
                </c:pt>
                <c:pt idx="23">
                  <c:v>154073</c:v>
                </c:pt>
                <c:pt idx="24">
                  <c:v>141367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9-44A3-9D7E-43013BAEA136}"/>
            </c:ext>
          </c:extLst>
        </c:ser>
        <c:ser>
          <c:idx val="1"/>
          <c:order val="1"/>
          <c:tx>
            <c:strRef>
              <c:f>HWES_A_Q!$J$3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HWES_A_Q!$E$4:$E$28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HWES_A_Q!$J$4:$J$28</c:f>
              <c:numCache>
                <c:formatCode>General</c:formatCode>
                <c:ptCount val="25"/>
                <c:pt idx="4">
                  <c:v>136928.1875</c:v>
                </c:pt>
                <c:pt idx="5">
                  <c:v>213659.68623794749</c:v>
                </c:pt>
                <c:pt idx="6">
                  <c:v>290032.83363262721</c:v>
                </c:pt>
                <c:pt idx="7">
                  <c:v>350250.65294738638</c:v>
                </c:pt>
                <c:pt idx="8">
                  <c:v>337885.84239126008</c:v>
                </c:pt>
                <c:pt idx="9">
                  <c:v>347110.0896877427</c:v>
                </c:pt>
                <c:pt idx="10">
                  <c:v>229724.15092396969</c:v>
                </c:pt>
                <c:pt idx="11">
                  <c:v>196579.7028410887</c:v>
                </c:pt>
                <c:pt idx="12">
                  <c:v>181014.27138941974</c:v>
                </c:pt>
                <c:pt idx="13">
                  <c:v>219585.94985474384</c:v>
                </c:pt>
                <c:pt idx="14">
                  <c:v>151699.62018845358</c:v>
                </c:pt>
                <c:pt idx="15">
                  <c:v>68234.158980102162</c:v>
                </c:pt>
                <c:pt idx="16">
                  <c:v>41608.561342394911</c:v>
                </c:pt>
                <c:pt idx="17">
                  <c:v>107044.99997394104</c:v>
                </c:pt>
                <c:pt idx="18">
                  <c:v>137877.98207254562</c:v>
                </c:pt>
                <c:pt idx="19">
                  <c:v>121668.008997775</c:v>
                </c:pt>
                <c:pt idx="20">
                  <c:v>100358.12097359833</c:v>
                </c:pt>
                <c:pt idx="21">
                  <c:v>127783.47420931373</c:v>
                </c:pt>
                <c:pt idx="22">
                  <c:v>157608.78252813179</c:v>
                </c:pt>
                <c:pt idx="23">
                  <c:v>144183.85771595119</c:v>
                </c:pt>
                <c:pt idx="24">
                  <c:v>129668.23610647101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9-44A3-9D7E-43013BAEA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785680"/>
        <c:axId val="844786160"/>
      </c:lineChart>
      <c:catAx>
        <c:axId val="84478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86160"/>
        <c:crosses val="autoZero"/>
        <c:auto val="1"/>
        <c:lblAlgn val="ctr"/>
        <c:lblOffset val="100"/>
        <c:noMultiLvlLbl val="0"/>
      </c:catAx>
      <c:valAx>
        <c:axId val="8447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8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Forecast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HWES_M_Q!$E$4:$E$28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HWES_M_Q!$F$4:$F$28</c:f>
              <c:numCache>
                <c:formatCode>General</c:formatCode>
                <c:ptCount val="25"/>
                <c:pt idx="0">
                  <c:v>101774</c:v>
                </c:pt>
                <c:pt idx="1">
                  <c:v>128585</c:v>
                </c:pt>
                <c:pt idx="2">
                  <c:v>142768</c:v>
                </c:pt>
                <c:pt idx="3">
                  <c:v>130946</c:v>
                </c:pt>
                <c:pt idx="4">
                  <c:v>159580</c:v>
                </c:pt>
                <c:pt idx="5">
                  <c:v>253362</c:v>
                </c:pt>
                <c:pt idx="6">
                  <c:v>341740</c:v>
                </c:pt>
                <c:pt idx="7">
                  <c:v>311858</c:v>
                </c:pt>
                <c:pt idx="8">
                  <c:v>250063</c:v>
                </c:pt>
                <c:pt idx="9">
                  <c:v>91600</c:v>
                </c:pt>
                <c:pt idx="10">
                  <c:v>169303</c:v>
                </c:pt>
                <c:pt idx="11">
                  <c:v>190752</c:v>
                </c:pt>
                <c:pt idx="12">
                  <c:v>180074</c:v>
                </c:pt>
                <c:pt idx="13">
                  <c:v>53804</c:v>
                </c:pt>
                <c:pt idx="14">
                  <c:v>29102</c:v>
                </c:pt>
                <c:pt idx="15">
                  <c:v>68234</c:v>
                </c:pt>
                <c:pt idx="16">
                  <c:v>114171</c:v>
                </c:pt>
                <c:pt idx="17">
                  <c:v>107045</c:v>
                </c:pt>
                <c:pt idx="18">
                  <c:v>115175</c:v>
                </c:pt>
                <c:pt idx="19">
                  <c:v>121668</c:v>
                </c:pt>
                <c:pt idx="20">
                  <c:v>114967</c:v>
                </c:pt>
                <c:pt idx="21">
                  <c:v>128202</c:v>
                </c:pt>
                <c:pt idx="22">
                  <c:v>138447</c:v>
                </c:pt>
                <c:pt idx="23">
                  <c:v>154073</c:v>
                </c:pt>
                <c:pt idx="24">
                  <c:v>141367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41-4A21-B986-7E3D010440FC}"/>
            </c:ext>
          </c:extLst>
        </c:ser>
        <c:ser>
          <c:idx val="1"/>
          <c:order val="1"/>
          <c:marker>
            <c:symbol val="none"/>
          </c:marker>
          <c:cat>
            <c:strRef>
              <c:f>HWES_M_Q!$E$4:$E$28</c:f>
              <c:strCache>
                <c:ptCount val="25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  <c:pt idx="22">
                  <c:v>2023 Qtr3</c:v>
                </c:pt>
                <c:pt idx="23">
                  <c:v>2023 Qtr4</c:v>
                </c:pt>
                <c:pt idx="24">
                  <c:v>2024 Qtr1</c:v>
                </c:pt>
              </c:strCache>
            </c:strRef>
          </c:cat>
          <c:val>
            <c:numRef>
              <c:f>HWES_M_Q!$J$4:$J$28</c:f>
              <c:numCache>
                <c:formatCode>General</c:formatCode>
                <c:ptCount val="25"/>
                <c:pt idx="4">
                  <c:v>130164.98526304723</c:v>
                </c:pt>
                <c:pt idx="5">
                  <c:v>225508.26015676704</c:v>
                </c:pt>
                <c:pt idx="6">
                  <c:v>313600.9509573392</c:v>
                </c:pt>
                <c:pt idx="7">
                  <c:v>345559.82947634766</c:v>
                </c:pt>
                <c:pt idx="8">
                  <c:v>285662.81870540226</c:v>
                </c:pt>
                <c:pt idx="9">
                  <c:v>368786.09984124126</c:v>
                </c:pt>
                <c:pt idx="10">
                  <c:v>241477.89914153109</c:v>
                </c:pt>
                <c:pt idx="11">
                  <c:v>195923.4330936929</c:v>
                </c:pt>
                <c:pt idx="12">
                  <c:v>163628.20264689834</c:v>
                </c:pt>
                <c:pt idx="13">
                  <c:v>224350.30693421408</c:v>
                </c:pt>
                <c:pt idx="14">
                  <c:v>145012.29000680748</c:v>
                </c:pt>
                <c:pt idx="15">
                  <c:v>68233.958866460918</c:v>
                </c:pt>
                <c:pt idx="16">
                  <c:v>54095.823099083056</c:v>
                </c:pt>
                <c:pt idx="17">
                  <c:v>107044.97468494019</c:v>
                </c:pt>
                <c:pt idx="18">
                  <c:v>128287.41966896705</c:v>
                </c:pt>
                <c:pt idx="19">
                  <c:v>122622.11718322223</c:v>
                </c:pt>
                <c:pt idx="20">
                  <c:v>101874.49481647524</c:v>
                </c:pt>
                <c:pt idx="21">
                  <c:v>125066.03670619157</c:v>
                </c:pt>
                <c:pt idx="22">
                  <c:v>150945.71427110973</c:v>
                </c:pt>
                <c:pt idx="23">
                  <c:v>146246.18669231996</c:v>
                </c:pt>
                <c:pt idx="24">
                  <c:v>126667.32125890729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1-4A21-B986-7E3D01044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57992"/>
        <c:axId val="494768576"/>
      </c:lineChart>
      <c:catAx>
        <c:axId val="49475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68576"/>
        <c:crosses val="autoZero"/>
        <c:auto val="1"/>
        <c:lblAlgn val="ctr"/>
        <c:lblOffset val="100"/>
        <c:noMultiLvlLbl val="0"/>
      </c:catAx>
      <c:valAx>
        <c:axId val="49476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57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MA!$C$1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MA!$C$2:$C$26</c:f>
              <c:numCache>
                <c:formatCode>General</c:formatCode>
                <c:ptCount val="25"/>
                <c:pt idx="0">
                  <c:v>101774</c:v>
                </c:pt>
                <c:pt idx="1">
                  <c:v>128585</c:v>
                </c:pt>
                <c:pt idx="2">
                  <c:v>142768</c:v>
                </c:pt>
                <c:pt idx="3">
                  <c:v>130946</c:v>
                </c:pt>
                <c:pt idx="4">
                  <c:v>159580</c:v>
                </c:pt>
                <c:pt idx="5">
                  <c:v>253362</c:v>
                </c:pt>
                <c:pt idx="6">
                  <c:v>341740</c:v>
                </c:pt>
                <c:pt idx="7">
                  <c:v>311858</c:v>
                </c:pt>
                <c:pt idx="8">
                  <c:v>250063</c:v>
                </c:pt>
                <c:pt idx="9">
                  <c:v>91600</c:v>
                </c:pt>
                <c:pt idx="10">
                  <c:v>169303</c:v>
                </c:pt>
                <c:pt idx="11">
                  <c:v>190752</c:v>
                </c:pt>
                <c:pt idx="12">
                  <c:v>180074</c:v>
                </c:pt>
                <c:pt idx="13">
                  <c:v>53804</c:v>
                </c:pt>
                <c:pt idx="14">
                  <c:v>29102</c:v>
                </c:pt>
                <c:pt idx="15">
                  <c:v>68234</c:v>
                </c:pt>
                <c:pt idx="16">
                  <c:v>114171</c:v>
                </c:pt>
                <c:pt idx="17">
                  <c:v>107045</c:v>
                </c:pt>
                <c:pt idx="18">
                  <c:v>115175</c:v>
                </c:pt>
                <c:pt idx="19">
                  <c:v>121668</c:v>
                </c:pt>
                <c:pt idx="20">
                  <c:v>114967</c:v>
                </c:pt>
                <c:pt idx="21">
                  <c:v>128202</c:v>
                </c:pt>
                <c:pt idx="22">
                  <c:v>138447</c:v>
                </c:pt>
                <c:pt idx="23">
                  <c:v>154073</c:v>
                </c:pt>
                <c:pt idx="24">
                  <c:v>141367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6-438B-958C-28FD8F40A7D7}"/>
            </c:ext>
          </c:extLst>
        </c:ser>
        <c:ser>
          <c:idx val="1"/>
          <c:order val="1"/>
          <c:tx>
            <c:strRef>
              <c:f>MA!$D$1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MA!$D$2:$D$26</c:f>
              <c:numCache>
                <c:formatCode>General</c:formatCode>
                <c:ptCount val="25"/>
                <c:pt idx="0">
                  <c:v>101774</c:v>
                </c:pt>
                <c:pt idx="1">
                  <c:v>101774</c:v>
                </c:pt>
                <c:pt idx="2">
                  <c:v>128585</c:v>
                </c:pt>
                <c:pt idx="3">
                  <c:v>142768</c:v>
                </c:pt>
                <c:pt idx="4">
                  <c:v>130946</c:v>
                </c:pt>
                <c:pt idx="5">
                  <c:v>159580</c:v>
                </c:pt>
                <c:pt idx="6">
                  <c:v>253362</c:v>
                </c:pt>
                <c:pt idx="7">
                  <c:v>341740</c:v>
                </c:pt>
                <c:pt idx="8">
                  <c:v>311858</c:v>
                </c:pt>
                <c:pt idx="9">
                  <c:v>250063</c:v>
                </c:pt>
                <c:pt idx="10">
                  <c:v>91600</c:v>
                </c:pt>
                <c:pt idx="11">
                  <c:v>169303</c:v>
                </c:pt>
                <c:pt idx="12">
                  <c:v>190752</c:v>
                </c:pt>
                <c:pt idx="13">
                  <c:v>180074</c:v>
                </c:pt>
                <c:pt idx="14">
                  <c:v>53804</c:v>
                </c:pt>
                <c:pt idx="15">
                  <c:v>29102</c:v>
                </c:pt>
                <c:pt idx="16">
                  <c:v>68234</c:v>
                </c:pt>
                <c:pt idx="17">
                  <c:v>114171</c:v>
                </c:pt>
                <c:pt idx="18">
                  <c:v>107045</c:v>
                </c:pt>
                <c:pt idx="19">
                  <c:v>115175</c:v>
                </c:pt>
                <c:pt idx="20">
                  <c:v>121668</c:v>
                </c:pt>
                <c:pt idx="21">
                  <c:v>114967</c:v>
                </c:pt>
                <c:pt idx="22">
                  <c:v>128202</c:v>
                </c:pt>
                <c:pt idx="23">
                  <c:v>138447</c:v>
                </c:pt>
                <c:pt idx="24">
                  <c:v>154073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6-438B-958C-28FD8F40A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687984"/>
        <c:axId val="1000670224"/>
      </c:lineChart>
      <c:catAx>
        <c:axId val="1000687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70224"/>
        <c:crosses val="autoZero"/>
        <c:auto val="1"/>
        <c:lblAlgn val="ctr"/>
        <c:lblOffset val="100"/>
        <c:noMultiLvlLbl val="0"/>
      </c:catAx>
      <c:valAx>
        <c:axId val="10006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8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Forecast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cat>
            <c:strRef>
              <c:f>HWES_A_Q__!$E$6:$E$27</c:f>
              <c:strCache>
                <c:ptCount val="22"/>
                <c:pt idx="0">
                  <c:v>2018 Qtr1</c:v>
                </c:pt>
                <c:pt idx="1">
                  <c:v>2018 Qtr2</c:v>
                </c:pt>
                <c:pt idx="2">
                  <c:v>2018 Qtr3</c:v>
                </c:pt>
                <c:pt idx="3">
                  <c:v>2018 Qtr4</c:v>
                </c:pt>
                <c:pt idx="4">
                  <c:v>2019 Qtr1</c:v>
                </c:pt>
                <c:pt idx="5">
                  <c:v>2019 Qtr2</c:v>
                </c:pt>
                <c:pt idx="6">
                  <c:v>2019 Qtr3</c:v>
                </c:pt>
                <c:pt idx="7">
                  <c:v>2019 Qtr4</c:v>
                </c:pt>
                <c:pt idx="8">
                  <c:v>2020 Qtr1</c:v>
                </c:pt>
                <c:pt idx="9">
                  <c:v>2020 Qtr2</c:v>
                </c:pt>
                <c:pt idx="10">
                  <c:v>2020 Qtr3</c:v>
                </c:pt>
                <c:pt idx="11">
                  <c:v>2020 Qtr4</c:v>
                </c:pt>
                <c:pt idx="12">
                  <c:v>2021 Qtr1</c:v>
                </c:pt>
                <c:pt idx="13">
                  <c:v>2021 Qtr2</c:v>
                </c:pt>
                <c:pt idx="14">
                  <c:v>2021 Qtr3</c:v>
                </c:pt>
                <c:pt idx="15">
                  <c:v>2021 Qtr4</c:v>
                </c:pt>
                <c:pt idx="16">
                  <c:v>2022 Qtr1</c:v>
                </c:pt>
                <c:pt idx="17">
                  <c:v>2022 Qtr2</c:v>
                </c:pt>
                <c:pt idx="18">
                  <c:v>2022 Qtr3</c:v>
                </c:pt>
                <c:pt idx="19">
                  <c:v>2022 Qtr4</c:v>
                </c:pt>
                <c:pt idx="20">
                  <c:v>2023 Qtr1</c:v>
                </c:pt>
                <c:pt idx="21">
                  <c:v>2023 Qtr2</c:v>
                </c:pt>
              </c:strCache>
            </c:strRef>
          </c:cat>
          <c:val>
            <c:numRef>
              <c:f>HWES_A_Q__!$F$6:$F$21</c:f>
              <c:numCache>
                <c:formatCode>General</c:formatCode>
                <c:ptCount val="16"/>
                <c:pt idx="0">
                  <c:v>101774</c:v>
                </c:pt>
                <c:pt idx="1">
                  <c:v>128585</c:v>
                </c:pt>
                <c:pt idx="2">
                  <c:v>142768</c:v>
                </c:pt>
                <c:pt idx="3">
                  <c:v>130946</c:v>
                </c:pt>
                <c:pt idx="4">
                  <c:v>159580</c:v>
                </c:pt>
                <c:pt idx="5">
                  <c:v>253362</c:v>
                </c:pt>
                <c:pt idx="6">
                  <c:v>341740</c:v>
                </c:pt>
                <c:pt idx="7">
                  <c:v>311858</c:v>
                </c:pt>
                <c:pt idx="8">
                  <c:v>250063</c:v>
                </c:pt>
                <c:pt idx="9">
                  <c:v>91600</c:v>
                </c:pt>
                <c:pt idx="10">
                  <c:v>169303</c:v>
                </c:pt>
                <c:pt idx="11">
                  <c:v>190752</c:v>
                </c:pt>
                <c:pt idx="12">
                  <c:v>180074</c:v>
                </c:pt>
                <c:pt idx="13">
                  <c:v>53804</c:v>
                </c:pt>
                <c:pt idx="14">
                  <c:v>29102</c:v>
                </c:pt>
                <c:pt idx="15">
                  <c:v>68234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9-483D-B053-E4B3052B8FD4}"/>
            </c:ext>
          </c:extLst>
        </c:ser>
        <c:ser>
          <c:idx val="1"/>
          <c:order val="1"/>
          <c:tx>
            <c:v>forecast</c:v>
          </c:tx>
          <c:marker>
            <c:symbol val="none"/>
          </c:marker>
          <c:val>
            <c:numRef>
              <c:f>HWES_A_Q__!$J$6:$J$27</c:f>
              <c:numCache>
                <c:formatCode>General</c:formatCode>
                <c:ptCount val="22"/>
                <c:pt idx="4">
                  <c:v>136928.1875</c:v>
                </c:pt>
                <c:pt idx="5">
                  <c:v>199597.03857330885</c:v>
                </c:pt>
                <c:pt idx="6">
                  <c:v>250956.23082631279</c:v>
                </c:pt>
                <c:pt idx="7">
                  <c:v>278295.47434075741</c:v>
                </c:pt>
                <c:pt idx="8">
                  <c:v>293065.91841740569</c:v>
                </c:pt>
                <c:pt idx="9">
                  <c:v>363885.43638641416</c:v>
                </c:pt>
                <c:pt idx="10">
                  <c:v>415628.85000886692</c:v>
                </c:pt>
                <c:pt idx="11">
                  <c:v>416524.08836240572</c:v>
                </c:pt>
                <c:pt idx="12">
                  <c:v>397633.64867377753</c:v>
                </c:pt>
                <c:pt idx="13">
                  <c:v>398685.80620525195</c:v>
                </c:pt>
                <c:pt idx="14">
                  <c:v>439133.5160529649</c:v>
                </c:pt>
                <c:pt idx="15">
                  <c:v>423546.49787154357</c:v>
                </c:pt>
                <c:pt idx="16">
                  <c:v>383887.28256773297</c:v>
                </c:pt>
                <c:pt idx="17">
                  <c:v>342134.55053076649</c:v>
                </c:pt>
                <c:pt idx="18">
                  <c:v>361243.28620613622</c:v>
                </c:pt>
                <c:pt idx="19">
                  <c:v>358943.60007835197</c:v>
                </c:pt>
                <c:pt idx="20">
                  <c:v>405564.35285389167</c:v>
                </c:pt>
                <c:pt idx="21">
                  <c:v>363811.62081692519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9-483D-B053-E4B3052B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516127"/>
        <c:axId val="1052525695"/>
      </c:lineChart>
      <c:catAx>
        <c:axId val="1052516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525695"/>
        <c:crosses val="autoZero"/>
        <c:auto val="1"/>
        <c:lblAlgn val="ctr"/>
        <c:lblOffset val="100"/>
        <c:noMultiLvlLbl val="0"/>
      </c:catAx>
      <c:valAx>
        <c:axId val="10525256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5161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 - Opt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 Opt @'!$B$1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'Exp Smoothing - Orange Opt @'!$A$66:$A$77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'Exp Smoothing - Orange Opt @'!$B$66:$B$77</c:f>
              <c:numCache>
                <c:formatCode>_(* #,##0_);_(* \(#,##0\);_(* "-"??_);_(@_)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 formatCode="_(* #,##0_);_(* \(#,##0\);_(* &quot;-&quot;_);_(@_)">
                  <c:v>42815</c:v>
                </c:pt>
                <c:pt idx="11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1-415B-BE96-C5CF54A77AE5}"/>
            </c:ext>
          </c:extLst>
        </c:ser>
        <c:ser>
          <c:idx val="1"/>
          <c:order val="1"/>
          <c:tx>
            <c:strRef>
              <c:f>'Exp Smoothing - Orange Opt @'!$C$1</c:f>
              <c:strCache>
                <c:ptCount val="1"/>
                <c:pt idx="0">
                  <c:v>Forecast_EOM</c:v>
                </c:pt>
              </c:strCache>
            </c:strRef>
          </c:tx>
          <c:marker>
            <c:symbol val="none"/>
          </c:marker>
          <c:cat>
            <c:numRef>
              <c:f>'Exp Smoothing - Orange Opt @'!$A$66:$A$77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'Exp Smoothing - Orange Opt @'!$C$66:$C$77</c:f>
              <c:numCache>
                <c:formatCode>_(* #,##0_);_(* \(#,##0\);_(* "-"??_);_(@_)</c:formatCode>
                <c:ptCount val="12"/>
                <c:pt idx="0">
                  <c:v>39704.586303399417</c:v>
                </c:pt>
                <c:pt idx="1">
                  <c:v>40446.033292452303</c:v>
                </c:pt>
                <c:pt idx="2">
                  <c:v>40572.221460606168</c:v>
                </c:pt>
                <c:pt idx="3">
                  <c:v>40128.107002986209</c:v>
                </c:pt>
                <c:pt idx="4">
                  <c:v>40897.69430644036</c:v>
                </c:pt>
                <c:pt idx="5">
                  <c:v>41610.900577406719</c:v>
                </c:pt>
                <c:pt idx="6">
                  <c:v>41649.374072159982</c:v>
                </c:pt>
                <c:pt idx="7">
                  <c:v>42743.883188419779</c:v>
                </c:pt>
                <c:pt idx="8">
                  <c:v>43341.244193433486</c:v>
                </c:pt>
                <c:pt idx="9">
                  <c:v>43927.733173966095</c:v>
                </c:pt>
                <c:pt idx="10">
                  <c:v>44036.802138756488</c:v>
                </c:pt>
                <c:pt idx="11">
                  <c:v>43961.482411685371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1-415B-BE96-C5CF54A77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(+)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add 18'!$F$3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add 18'!$E$68:$E$79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'Holt-Winters add 18'!$F$68:$F$79</c:f>
              <c:numCache>
                <c:formatCode>_(* #,##0_);_(* \(#,##0\);_(* "-"_);_(@_)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>
                  <c:v>42815</c:v>
                </c:pt>
                <c:pt idx="11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7-451F-ACEE-F2DE3A748886}"/>
            </c:ext>
          </c:extLst>
        </c:ser>
        <c:ser>
          <c:idx val="1"/>
          <c:order val="1"/>
          <c:tx>
            <c:strRef>
              <c:f>'Holt-Winters add 18'!$J$3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add 18'!$E$68:$E$79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'Holt-Winters add 18'!$J$68:$J$79</c:f>
              <c:numCache>
                <c:formatCode>_(* #,##0.00_);_(* \(#,##0.00\);_(* "-"??_);_(@_)</c:formatCode>
                <c:ptCount val="12"/>
                <c:pt idx="0">
                  <c:v>54834.16450906454</c:v>
                </c:pt>
                <c:pt idx="1">
                  <c:v>35918.33896542</c:v>
                </c:pt>
                <c:pt idx="2">
                  <c:v>44930.297770598052</c:v>
                </c:pt>
                <c:pt idx="3">
                  <c:v>60000.610408379216</c:v>
                </c:pt>
                <c:pt idx="4">
                  <c:v>48401.177540779434</c:v>
                </c:pt>
                <c:pt idx="5">
                  <c:v>56888.922413854139</c:v>
                </c:pt>
                <c:pt idx="6">
                  <c:v>39902.731940357626</c:v>
                </c:pt>
                <c:pt idx="7">
                  <c:v>52784.438091398319</c:v>
                </c:pt>
                <c:pt idx="8">
                  <c:v>45630.500364851265</c:v>
                </c:pt>
                <c:pt idx="9">
                  <c:v>37705.845658212012</c:v>
                </c:pt>
                <c:pt idx="10">
                  <c:v>51895.793321325291</c:v>
                </c:pt>
                <c:pt idx="11">
                  <c:v>44339.917888315744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7-451F-ACEE-F2DE3A748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62304"/>
        <c:axId val="494759952"/>
      </c:lineChart>
      <c:dateAx>
        <c:axId val="49476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494759952"/>
        <c:crosses val="autoZero"/>
        <c:auto val="1"/>
        <c:lblOffset val="100"/>
        <c:baseTimeUnit val="months"/>
      </c:dateAx>
      <c:valAx>
        <c:axId val="494759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_(* #,##0_);_(* \(#,##0\);_(* &quot;-&quot;_);_(@_)" sourceLinked="1"/>
        <c:majorTickMark val="out"/>
        <c:minorTickMark val="none"/>
        <c:tickLblPos val="nextTo"/>
        <c:crossAx val="4947623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(x)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mult 18'!$F$3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mult 18'!$E$68:$E$79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'Holt-Winters mult 18'!$F$68:$F$79</c:f>
              <c:numCache>
                <c:formatCode>General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>
                  <c:v>42815</c:v>
                </c:pt>
                <c:pt idx="11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2-4D81-899E-EC9FB35F0E2B}"/>
            </c:ext>
          </c:extLst>
        </c:ser>
        <c:ser>
          <c:idx val="1"/>
          <c:order val="1"/>
          <c:tx>
            <c:strRef>
              <c:f>'Holt-Winters mult 18'!$J$3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mult 18'!$E$68:$E$79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'Holt-Winters mult 18'!$J$68:$J$79</c:f>
              <c:numCache>
                <c:formatCode>_(* #,##0_);_(* \(#,##0\);_(* "-"_);_(@_)</c:formatCode>
                <c:ptCount val="12"/>
                <c:pt idx="0">
                  <c:v>50694.975888894623</c:v>
                </c:pt>
                <c:pt idx="1">
                  <c:v>37836.735827924742</c:v>
                </c:pt>
                <c:pt idx="2">
                  <c:v>48426.452184958347</c:v>
                </c:pt>
                <c:pt idx="3">
                  <c:v>58708.983566483701</c:v>
                </c:pt>
                <c:pt idx="4">
                  <c:v>50309.266501033402</c:v>
                </c:pt>
                <c:pt idx="5">
                  <c:v>57181.106957776974</c:v>
                </c:pt>
                <c:pt idx="6">
                  <c:v>39118.324305980954</c:v>
                </c:pt>
                <c:pt idx="7">
                  <c:v>55850.330982616688</c:v>
                </c:pt>
                <c:pt idx="8">
                  <c:v>46411.403648437008</c:v>
                </c:pt>
                <c:pt idx="9">
                  <c:v>35591.269336911224</c:v>
                </c:pt>
                <c:pt idx="10">
                  <c:v>54036.044838201255</c:v>
                </c:pt>
                <c:pt idx="11">
                  <c:v>38879.966489488805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2-4D81-899E-EC9FB35F0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57992"/>
        <c:axId val="494768576"/>
      </c:lineChart>
      <c:dateAx>
        <c:axId val="49475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494768576"/>
        <c:crosses val="autoZero"/>
        <c:auto val="1"/>
        <c:lblOffset val="100"/>
        <c:baseTimeUnit val="months"/>
      </c:dateAx>
      <c:valAx>
        <c:axId val="494768576"/>
        <c:scaling>
          <c:orientation val="minMax"/>
          <c:max val="700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579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ARIMA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ARIMA!$B$1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ARIMA!$A$66:$A$77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ARIMA!$B$66:$B$77</c:f>
              <c:numCache>
                <c:formatCode>General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>
                  <c:v>42815</c:v>
                </c:pt>
                <c:pt idx="11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9-44FB-B12B-0738862B8395}"/>
            </c:ext>
          </c:extLst>
        </c:ser>
        <c:ser>
          <c:idx val="1"/>
          <c:order val="1"/>
          <c:tx>
            <c:strRef>
              <c:f>ARIMA!$C$1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ARIMA!$A$66:$A$77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ARIMA!$C$66:$C$77</c:f>
              <c:numCache>
                <c:formatCode>General</c:formatCode>
                <c:ptCount val="12"/>
                <c:pt idx="0">
                  <c:v>45520.797509362797</c:v>
                </c:pt>
                <c:pt idx="1">
                  <c:v>46738.303025027701</c:v>
                </c:pt>
                <c:pt idx="2">
                  <c:v>52299.203650923999</c:v>
                </c:pt>
                <c:pt idx="3">
                  <c:v>54821.0541607372</c:v>
                </c:pt>
                <c:pt idx="4">
                  <c:v>56875.257128046898</c:v>
                </c:pt>
                <c:pt idx="5">
                  <c:v>56889.147481553497</c:v>
                </c:pt>
                <c:pt idx="6">
                  <c:v>55457.891447672999</c:v>
                </c:pt>
                <c:pt idx="7">
                  <c:v>52554.960326986198</c:v>
                </c:pt>
                <c:pt idx="8">
                  <c:v>48730.6147064877</c:v>
                </c:pt>
                <c:pt idx="9">
                  <c:v>44498.611728955897</c:v>
                </c:pt>
                <c:pt idx="10">
                  <c:v>40496.088123982001</c:v>
                </c:pt>
                <c:pt idx="11">
                  <c:v>37286.586905914497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59-44FB-B12B-0738862B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402320"/>
        <c:axId val="844786640"/>
      </c:lineChart>
      <c:dateAx>
        <c:axId val="1822402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86640"/>
        <c:crosses val="autoZero"/>
        <c:auto val="1"/>
        <c:lblOffset val="100"/>
        <c:baseTimeUnit val="months"/>
      </c:dateAx>
      <c:valAx>
        <c:axId val="84478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Simple</a:t>
            </a:r>
            <a:r>
              <a:rPr lang="en-ID" baseline="0"/>
              <a:t> Exp. Smoothing</a:t>
            </a:r>
            <a:endParaRPr lang="en-ID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Orange'!$B$1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'Exp Smoothing - Orange'!$A$66:$A$77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'Exp Smoothing - Orange'!$B$66:$B$77</c:f>
              <c:numCache>
                <c:formatCode>_(* #,##0_);_(* \(#,##0\);_(* "-"??_);_(@_)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 formatCode="_(* #,##0_);_(* \(#,##0\);_(* &quot;-&quot;_);_(@_)">
                  <c:v>42815</c:v>
                </c:pt>
                <c:pt idx="11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6-4D49-ACE8-48DE358DB3C2}"/>
            </c:ext>
          </c:extLst>
        </c:ser>
        <c:ser>
          <c:idx val="1"/>
          <c:order val="1"/>
          <c:tx>
            <c:strRef>
              <c:f>'Exp Smoothing - Orange'!$C$1</c:f>
              <c:strCache>
                <c:ptCount val="1"/>
                <c:pt idx="0">
                  <c:v>Forecast_EOM</c:v>
                </c:pt>
              </c:strCache>
            </c:strRef>
          </c:tx>
          <c:marker>
            <c:symbol val="none"/>
          </c:marker>
          <c:cat>
            <c:numRef>
              <c:f>'Exp Smoothing - Orange'!$A$66:$A$77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'Exp Smoothing - Orange'!$C$66:$C$77</c:f>
              <c:numCache>
                <c:formatCode>_(* #,##0_);_(* \(#,##0\);_(* "-"??_);_(@_)</c:formatCode>
                <c:ptCount val="12"/>
                <c:pt idx="0">
                  <c:v>36942.206222243731</c:v>
                </c:pt>
                <c:pt idx="1">
                  <c:v>47295.061866673117</c:v>
                </c:pt>
                <c:pt idx="2">
                  <c:v>43933.618560001938</c:v>
                </c:pt>
                <c:pt idx="3">
                  <c:v>36537.685568000583</c:v>
                </c:pt>
                <c:pt idx="4">
                  <c:v>47789.705670400173</c:v>
                </c:pt>
                <c:pt idx="5">
                  <c:v>51063.811701120052</c:v>
                </c:pt>
                <c:pt idx="6">
                  <c:v>44883.643510336013</c:v>
                </c:pt>
                <c:pt idx="7">
                  <c:v>55047.893053100801</c:v>
                </c:pt>
                <c:pt idx="8">
                  <c:v>53218.167915930237</c:v>
                </c:pt>
                <c:pt idx="9">
                  <c:v>52963.950374779073</c:v>
                </c:pt>
                <c:pt idx="10">
                  <c:v>47877.08511243372</c:v>
                </c:pt>
                <c:pt idx="11">
                  <c:v>44333.625533730112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6-4D49-ACE8-48DE358DB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Simple Exp Smoothing - Opt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 Opt @'!$B$1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'Exp Smoothing - Orange Opt @'!$A$66:$A$77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'Exp Smoothing - Orange Opt @'!$B$66:$B$77</c:f>
              <c:numCache>
                <c:formatCode>_(* #,##0_);_(* \(#,##0\);_(* "-"??_);_(@_)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 formatCode="_(* #,##0_);_(* \(#,##0\);_(* &quot;-&quot;_);_(@_)">
                  <c:v>42815</c:v>
                </c:pt>
                <c:pt idx="11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3-4A88-BC70-263F82172D82}"/>
            </c:ext>
          </c:extLst>
        </c:ser>
        <c:ser>
          <c:idx val="1"/>
          <c:order val="1"/>
          <c:tx>
            <c:strRef>
              <c:f>'Exp Smoothing - Orange Opt @'!$C$1</c:f>
              <c:strCache>
                <c:ptCount val="1"/>
                <c:pt idx="0">
                  <c:v>Forecast_EOM</c:v>
                </c:pt>
              </c:strCache>
            </c:strRef>
          </c:tx>
          <c:marker>
            <c:symbol val="none"/>
          </c:marker>
          <c:cat>
            <c:numRef>
              <c:f>'Exp Smoothing - Orange Opt @'!$A$66:$A$77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'Exp Smoothing - Orange Opt @'!$C$66:$C$77</c:f>
              <c:numCache>
                <c:formatCode>_(* #,##0_);_(* \(#,##0\);_(* "-"??_);_(@_)</c:formatCode>
                <c:ptCount val="12"/>
                <c:pt idx="0">
                  <c:v>39704.586303399417</c:v>
                </c:pt>
                <c:pt idx="1">
                  <c:v>40446.033292452303</c:v>
                </c:pt>
                <c:pt idx="2">
                  <c:v>40572.221460606168</c:v>
                </c:pt>
                <c:pt idx="3">
                  <c:v>40128.107002986209</c:v>
                </c:pt>
                <c:pt idx="4">
                  <c:v>40897.69430644036</c:v>
                </c:pt>
                <c:pt idx="5">
                  <c:v>41610.900577406719</c:v>
                </c:pt>
                <c:pt idx="6">
                  <c:v>41649.374072159982</c:v>
                </c:pt>
                <c:pt idx="7">
                  <c:v>42743.883188419779</c:v>
                </c:pt>
                <c:pt idx="8">
                  <c:v>43341.244193433486</c:v>
                </c:pt>
                <c:pt idx="9">
                  <c:v>43927.733173966095</c:v>
                </c:pt>
                <c:pt idx="10">
                  <c:v>44036.802138756488</c:v>
                </c:pt>
                <c:pt idx="11">
                  <c:v>43961.482411685371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3-4A88-BC70-263F82172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Holt Winters Exp Smoothing</a:t>
            </a:r>
            <a:r>
              <a:rPr lang="en-GB" baseline="0"/>
              <a:t> +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add 18'!$F$3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add 18'!$E$68:$E$79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'Holt-Winters add 18'!$F$68:$F$79</c:f>
              <c:numCache>
                <c:formatCode>_(* #,##0_);_(* \(#,##0\);_(* "-"_);_(@_)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>
                  <c:v>42815</c:v>
                </c:pt>
                <c:pt idx="11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4-4C8A-A845-924EC6D054AB}"/>
            </c:ext>
          </c:extLst>
        </c:ser>
        <c:ser>
          <c:idx val="1"/>
          <c:order val="1"/>
          <c:tx>
            <c:strRef>
              <c:f>'Holt-Winters add 18'!$J$3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add 18'!$E$68:$E$79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'Holt-Winters add 18'!$J$68:$J$79</c:f>
              <c:numCache>
                <c:formatCode>_(* #,##0.00_);_(* \(#,##0.00\);_(* "-"??_);_(@_)</c:formatCode>
                <c:ptCount val="12"/>
                <c:pt idx="0">
                  <c:v>54834.16450906454</c:v>
                </c:pt>
                <c:pt idx="1">
                  <c:v>35918.33896542</c:v>
                </c:pt>
                <c:pt idx="2">
                  <c:v>44930.297770598052</c:v>
                </c:pt>
                <c:pt idx="3">
                  <c:v>60000.610408379216</c:v>
                </c:pt>
                <c:pt idx="4">
                  <c:v>48401.177540779434</c:v>
                </c:pt>
                <c:pt idx="5">
                  <c:v>56888.922413854139</c:v>
                </c:pt>
                <c:pt idx="6">
                  <c:v>39902.731940357626</c:v>
                </c:pt>
                <c:pt idx="7">
                  <c:v>52784.438091398319</c:v>
                </c:pt>
                <c:pt idx="8">
                  <c:v>45630.500364851265</c:v>
                </c:pt>
                <c:pt idx="9">
                  <c:v>37705.845658212012</c:v>
                </c:pt>
                <c:pt idx="10">
                  <c:v>51895.793321325291</c:v>
                </c:pt>
                <c:pt idx="11">
                  <c:v>44339.917888315744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74-4C8A-A845-924EC6D05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62304"/>
        <c:axId val="494759952"/>
      </c:lineChart>
      <c:dateAx>
        <c:axId val="494762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94759952"/>
        <c:crosses val="autoZero"/>
        <c:auto val="1"/>
        <c:lblOffset val="100"/>
        <c:baseTimeUnit val="months"/>
      </c:dateAx>
      <c:valAx>
        <c:axId val="494759952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4947623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Holt Winters Exp. Smoothing x</a:t>
            </a:r>
            <a:r>
              <a:rPr lang="en-GB" baseline="0"/>
              <a:t> 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mult 18'!$F$3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mult 18'!$E$68:$E$79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'Holt-Winters mult 18'!$F$68:$F$79</c:f>
              <c:numCache>
                <c:formatCode>General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>
                  <c:v>42815</c:v>
                </c:pt>
                <c:pt idx="11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A-478C-BC3B-CD44E86A01AE}"/>
            </c:ext>
          </c:extLst>
        </c:ser>
        <c:ser>
          <c:idx val="1"/>
          <c:order val="1"/>
          <c:tx>
            <c:strRef>
              <c:f>'Holt-Winters mult 18'!$J$3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mult 18'!$E$68:$E$79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'Holt-Winters mult 18'!$J$68:$J$79</c:f>
              <c:numCache>
                <c:formatCode>_(* #,##0_);_(* \(#,##0\);_(* "-"_);_(@_)</c:formatCode>
                <c:ptCount val="12"/>
                <c:pt idx="0">
                  <c:v>50694.975888894623</c:v>
                </c:pt>
                <c:pt idx="1">
                  <c:v>37836.735827924742</c:v>
                </c:pt>
                <c:pt idx="2">
                  <c:v>48426.452184958347</c:v>
                </c:pt>
                <c:pt idx="3">
                  <c:v>58708.983566483701</c:v>
                </c:pt>
                <c:pt idx="4">
                  <c:v>50309.266501033402</c:v>
                </c:pt>
                <c:pt idx="5">
                  <c:v>57181.106957776974</c:v>
                </c:pt>
                <c:pt idx="6">
                  <c:v>39118.324305980954</c:v>
                </c:pt>
                <c:pt idx="7">
                  <c:v>55850.330982616688</c:v>
                </c:pt>
                <c:pt idx="8">
                  <c:v>46411.403648437008</c:v>
                </c:pt>
                <c:pt idx="9">
                  <c:v>35591.269336911224</c:v>
                </c:pt>
                <c:pt idx="10">
                  <c:v>54036.044838201255</c:v>
                </c:pt>
                <c:pt idx="11">
                  <c:v>38879.966489488805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A-478C-BC3B-CD44E86A0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57992"/>
        <c:axId val="494768576"/>
      </c:lineChart>
      <c:dateAx>
        <c:axId val="494757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94768576"/>
        <c:crosses val="autoZero"/>
        <c:auto val="1"/>
        <c:lblOffset val="100"/>
        <c:baseTimeUnit val="months"/>
      </c:dateAx>
      <c:valAx>
        <c:axId val="494768576"/>
        <c:scaling>
          <c:orientation val="minMax"/>
          <c:max val="8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47579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800" b="1"/>
              <a:t>ARIMA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ARIMA!$B$1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ARIMA!$A$66:$A$77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ARIMA!$B$66:$B$77</c:f>
              <c:numCache>
                <c:formatCode>General</c:formatCode>
                <c:ptCount val="12"/>
                <c:pt idx="0">
                  <c:v>51732</c:v>
                </c:pt>
                <c:pt idx="1">
                  <c:v>42493</c:v>
                </c:pt>
                <c:pt idx="2">
                  <c:v>33368</c:v>
                </c:pt>
                <c:pt idx="3">
                  <c:v>52612</c:v>
                </c:pt>
                <c:pt idx="4">
                  <c:v>52467</c:v>
                </c:pt>
                <c:pt idx="5">
                  <c:v>42235</c:v>
                </c:pt>
                <c:pt idx="6">
                  <c:v>59404</c:v>
                </c:pt>
                <c:pt idx="7">
                  <c:v>52434</c:v>
                </c:pt>
                <c:pt idx="8">
                  <c:v>52855</c:v>
                </c:pt>
                <c:pt idx="9">
                  <c:v>45697</c:v>
                </c:pt>
                <c:pt idx="10">
                  <c:v>42815</c:v>
                </c:pt>
                <c:pt idx="11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B0-4A0A-A39B-C7F27FA09E09}"/>
            </c:ext>
          </c:extLst>
        </c:ser>
        <c:ser>
          <c:idx val="1"/>
          <c:order val="1"/>
          <c:tx>
            <c:strRef>
              <c:f>ARIMA!$C$1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ARIMA!$A$66:$A$77</c:f>
              <c:numCache>
                <c:formatCode>m/d/yyyy</c:formatCode>
                <c:ptCount val="12"/>
                <c:pt idx="0">
                  <c:v>45077</c:v>
                </c:pt>
                <c:pt idx="1">
                  <c:v>45107</c:v>
                </c:pt>
                <c:pt idx="2">
                  <c:v>45138</c:v>
                </c:pt>
                <c:pt idx="3">
                  <c:v>45169</c:v>
                </c:pt>
                <c:pt idx="4">
                  <c:v>45199</c:v>
                </c:pt>
                <c:pt idx="5">
                  <c:v>45230</c:v>
                </c:pt>
                <c:pt idx="6">
                  <c:v>45260</c:v>
                </c:pt>
                <c:pt idx="7">
                  <c:v>45291</c:v>
                </c:pt>
                <c:pt idx="8">
                  <c:v>45322</c:v>
                </c:pt>
                <c:pt idx="9">
                  <c:v>45351</c:v>
                </c:pt>
                <c:pt idx="10">
                  <c:v>45382</c:v>
                </c:pt>
                <c:pt idx="11">
                  <c:v>45412</c:v>
                </c:pt>
              </c:numCache>
            </c:numRef>
          </c:cat>
          <c:val>
            <c:numRef>
              <c:f>ARIMA!$C$66:$C$77</c:f>
              <c:numCache>
                <c:formatCode>General</c:formatCode>
                <c:ptCount val="12"/>
                <c:pt idx="0">
                  <c:v>45520.797509362797</c:v>
                </c:pt>
                <c:pt idx="1">
                  <c:v>46738.303025027701</c:v>
                </c:pt>
                <c:pt idx="2">
                  <c:v>52299.203650923999</c:v>
                </c:pt>
                <c:pt idx="3">
                  <c:v>54821.0541607372</c:v>
                </c:pt>
                <c:pt idx="4">
                  <c:v>56875.257128046898</c:v>
                </c:pt>
                <c:pt idx="5">
                  <c:v>56889.147481553497</c:v>
                </c:pt>
                <c:pt idx="6">
                  <c:v>55457.891447672999</c:v>
                </c:pt>
                <c:pt idx="7">
                  <c:v>52554.960326986198</c:v>
                </c:pt>
                <c:pt idx="8">
                  <c:v>48730.6147064877</c:v>
                </c:pt>
                <c:pt idx="9">
                  <c:v>44498.611728955897</c:v>
                </c:pt>
                <c:pt idx="10">
                  <c:v>40496.088123982001</c:v>
                </c:pt>
                <c:pt idx="11">
                  <c:v>37286.586905914497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B0-4A0A-A39B-C7F27FA09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402320"/>
        <c:axId val="844786640"/>
      </c:lineChart>
      <c:dateAx>
        <c:axId val="1822402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86640"/>
        <c:crosses val="autoZero"/>
        <c:auto val="1"/>
        <c:lblOffset val="100"/>
        <c:baseTimeUnit val="months"/>
      </c:dateAx>
      <c:valAx>
        <c:axId val="844786640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2320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Blue VISA'!$B$1</c:f>
              <c:strCache>
                <c:ptCount val="1"/>
                <c:pt idx="0">
                  <c:v>Demand</c:v>
                </c:pt>
              </c:strCache>
            </c:strRef>
          </c:tx>
          <c:cat>
            <c:numRef>
              <c:f>'Exp Smoothing - Blue VISA'!$A$2:$A$37</c:f>
              <c:numCache>
                <c:formatCode>m/d/yyyy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'Exp Smoothing - Blue VISA'!$B$2:$B$37</c:f>
              <c:numCache>
                <c:formatCode>_(* #,##0_);_(* \(#,##0\);_(* "-"??_);_(@_)</c:formatCode>
                <c:ptCount val="36"/>
                <c:pt idx="0">
                  <c:v>1213</c:v>
                </c:pt>
                <c:pt idx="1">
                  <c:v>1042</c:v>
                </c:pt>
                <c:pt idx="2">
                  <c:v>1142</c:v>
                </c:pt>
                <c:pt idx="3">
                  <c:v>1466</c:v>
                </c:pt>
                <c:pt idx="4">
                  <c:v>1420</c:v>
                </c:pt>
                <c:pt idx="5">
                  <c:v>1146</c:v>
                </c:pt>
                <c:pt idx="6">
                  <c:v>1963</c:v>
                </c:pt>
                <c:pt idx="7">
                  <c:v>1947</c:v>
                </c:pt>
                <c:pt idx="8">
                  <c:v>2079</c:v>
                </c:pt>
                <c:pt idx="9">
                  <c:v>1757</c:v>
                </c:pt>
                <c:pt idx="10">
                  <c:v>1369</c:v>
                </c:pt>
                <c:pt idx="11">
                  <c:v>1392</c:v>
                </c:pt>
                <c:pt idx="12">
                  <c:v>1687</c:v>
                </c:pt>
                <c:pt idx="13">
                  <c:v>1570</c:v>
                </c:pt>
                <c:pt idx="14">
                  <c:v>1730</c:v>
                </c:pt>
                <c:pt idx="15">
                  <c:v>1927</c:v>
                </c:pt>
                <c:pt idx="16">
                  <c:v>2435</c:v>
                </c:pt>
                <c:pt idx="17">
                  <c:v>2699</c:v>
                </c:pt>
                <c:pt idx="18">
                  <c:v>1806</c:v>
                </c:pt>
                <c:pt idx="19">
                  <c:v>195</c:v>
                </c:pt>
                <c:pt idx="20">
                  <c:v>2509</c:v>
                </c:pt>
                <c:pt idx="21">
                  <c:v>3153</c:v>
                </c:pt>
                <c:pt idx="22">
                  <c:v>3015</c:v>
                </c:pt>
                <c:pt idx="23">
                  <c:v>1123</c:v>
                </c:pt>
                <c:pt idx="24">
                  <c:v>865</c:v>
                </c:pt>
                <c:pt idx="25">
                  <c:v>3006</c:v>
                </c:pt>
                <c:pt idx="26">
                  <c:v>6136</c:v>
                </c:pt>
                <c:pt idx="27">
                  <c:v>3292</c:v>
                </c:pt>
                <c:pt idx="28">
                  <c:v>1429</c:v>
                </c:pt>
                <c:pt idx="29">
                  <c:v>1471</c:v>
                </c:pt>
                <c:pt idx="30">
                  <c:v>509</c:v>
                </c:pt>
                <c:pt idx="31">
                  <c:v>515</c:v>
                </c:pt>
                <c:pt idx="32">
                  <c:v>534</c:v>
                </c:pt>
                <c:pt idx="33">
                  <c:v>728</c:v>
                </c:pt>
                <c:pt idx="34">
                  <c:v>1138</c:v>
                </c:pt>
                <c:pt idx="35">
                  <c:v>1075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A-412F-A20E-139B01C962C4}"/>
            </c:ext>
          </c:extLst>
        </c:ser>
        <c:ser>
          <c:idx val="1"/>
          <c:order val="1"/>
          <c:tx>
            <c:strRef>
              <c:f>'Exp Smoothing - Blue VISA'!$C$1</c:f>
              <c:strCache>
                <c:ptCount val="1"/>
                <c:pt idx="0">
                  <c:v>Forecast_EOM</c:v>
                </c:pt>
              </c:strCache>
            </c:strRef>
          </c:tx>
          <c:cat>
            <c:numRef>
              <c:f>'Exp Smoothing - Blue VISA'!$A$2:$A$37</c:f>
              <c:numCache>
                <c:formatCode>m/d/yyyy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'Exp Smoothing - Blue VISA'!$C$2:$C$37</c:f>
              <c:numCache>
                <c:formatCode>_(* #,##0_);_(* \(#,##0\);_(* "-"??_);_(@_)</c:formatCode>
                <c:ptCount val="36"/>
                <c:pt idx="0">
                  <c:v>1213</c:v>
                </c:pt>
                <c:pt idx="1">
                  <c:v>1213</c:v>
                </c:pt>
                <c:pt idx="2">
                  <c:v>1093.3</c:v>
                </c:pt>
                <c:pt idx="3">
                  <c:v>1127.3899999999999</c:v>
                </c:pt>
                <c:pt idx="4">
                  <c:v>1364.4169999999999</c:v>
                </c:pt>
                <c:pt idx="5">
                  <c:v>1403.3251</c:v>
                </c:pt>
                <c:pt idx="6">
                  <c:v>1223.1975299999999</c:v>
                </c:pt>
                <c:pt idx="7">
                  <c:v>1741.0592589999999</c:v>
                </c:pt>
                <c:pt idx="8">
                  <c:v>1885.2177776999999</c:v>
                </c:pt>
                <c:pt idx="9">
                  <c:v>2020.8653333100001</c:v>
                </c:pt>
                <c:pt idx="10">
                  <c:v>1836.159599993</c:v>
                </c:pt>
                <c:pt idx="11">
                  <c:v>1509.1478799979</c:v>
                </c:pt>
                <c:pt idx="12">
                  <c:v>1427.1443639993699</c:v>
                </c:pt>
                <c:pt idx="13">
                  <c:v>1609.0433091998109</c:v>
                </c:pt>
                <c:pt idx="14">
                  <c:v>1581.7129927599433</c:v>
                </c:pt>
                <c:pt idx="15">
                  <c:v>1685.5138978279831</c:v>
                </c:pt>
                <c:pt idx="16">
                  <c:v>1854.5541693483949</c:v>
                </c:pt>
                <c:pt idx="17">
                  <c:v>2260.8662508045186</c:v>
                </c:pt>
                <c:pt idx="18">
                  <c:v>2567.5598752413557</c:v>
                </c:pt>
                <c:pt idx="19">
                  <c:v>2034.4679625724066</c:v>
                </c:pt>
                <c:pt idx="20">
                  <c:v>746.84038877172202</c:v>
                </c:pt>
                <c:pt idx="21">
                  <c:v>1980.3521166315165</c:v>
                </c:pt>
                <c:pt idx="22">
                  <c:v>2801.2056349894551</c:v>
                </c:pt>
                <c:pt idx="23">
                  <c:v>2950.8616904968367</c:v>
                </c:pt>
                <c:pt idx="24">
                  <c:v>1671.3585071490511</c:v>
                </c:pt>
                <c:pt idx="25">
                  <c:v>1106.9075521447153</c:v>
                </c:pt>
                <c:pt idx="26">
                  <c:v>2436.2722656434144</c:v>
                </c:pt>
                <c:pt idx="27">
                  <c:v>5026.0816796930239</c:v>
                </c:pt>
                <c:pt idx="28">
                  <c:v>3812.2245039079071</c:v>
                </c:pt>
                <c:pt idx="29">
                  <c:v>2143.9673511723722</c:v>
                </c:pt>
                <c:pt idx="30">
                  <c:v>1672.8902053517118</c:v>
                </c:pt>
                <c:pt idx="31">
                  <c:v>858.16706160551348</c:v>
                </c:pt>
                <c:pt idx="32">
                  <c:v>617.95011848165404</c:v>
                </c:pt>
                <c:pt idx="33">
                  <c:v>559.18503554449626</c:v>
                </c:pt>
                <c:pt idx="34">
                  <c:v>677.35551066334892</c:v>
                </c:pt>
                <c:pt idx="35">
                  <c:v>999.80665319900459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A-412F-A20E-139B01C96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657792"/>
        <c:axId val="248659328"/>
      </c:lineChart>
      <c:dateAx>
        <c:axId val="248657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659328"/>
        <c:crosses val="autoZero"/>
        <c:auto val="1"/>
        <c:lblOffset val="100"/>
        <c:baseTimeUnit val="months"/>
      </c:dateAx>
      <c:valAx>
        <c:axId val="24865932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48657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Blue GPN'!$B$1</c:f>
              <c:strCache>
                <c:ptCount val="1"/>
                <c:pt idx="0">
                  <c:v>Demand</c:v>
                </c:pt>
              </c:strCache>
            </c:strRef>
          </c:tx>
          <c:cat>
            <c:numRef>
              <c:f>'Exp Smoothing - Blue GPN'!$A$2:$A$34</c:f>
              <c:numCache>
                <c:formatCode>m/d/yyyy</c:formatCode>
                <c:ptCount val="33"/>
                <c:pt idx="0">
                  <c:v>43220</c:v>
                </c:pt>
                <c:pt idx="1">
                  <c:v>43251</c:v>
                </c:pt>
                <c:pt idx="2">
                  <c:v>43281</c:v>
                </c:pt>
                <c:pt idx="3">
                  <c:v>43312</c:v>
                </c:pt>
                <c:pt idx="4">
                  <c:v>43343</c:v>
                </c:pt>
                <c:pt idx="5">
                  <c:v>43373</c:v>
                </c:pt>
                <c:pt idx="6">
                  <c:v>43404</c:v>
                </c:pt>
                <c:pt idx="7">
                  <c:v>43434</c:v>
                </c:pt>
                <c:pt idx="8">
                  <c:v>43465</c:v>
                </c:pt>
                <c:pt idx="9">
                  <c:v>43496</c:v>
                </c:pt>
                <c:pt idx="10">
                  <c:v>43524</c:v>
                </c:pt>
                <c:pt idx="11">
                  <c:v>43555</c:v>
                </c:pt>
                <c:pt idx="12">
                  <c:v>43585</c:v>
                </c:pt>
                <c:pt idx="13">
                  <c:v>43616</c:v>
                </c:pt>
                <c:pt idx="14">
                  <c:v>43646</c:v>
                </c:pt>
                <c:pt idx="15">
                  <c:v>43677</c:v>
                </c:pt>
                <c:pt idx="16">
                  <c:v>43708</c:v>
                </c:pt>
                <c:pt idx="17">
                  <c:v>43738</c:v>
                </c:pt>
                <c:pt idx="18">
                  <c:v>43769</c:v>
                </c:pt>
                <c:pt idx="19">
                  <c:v>43799</c:v>
                </c:pt>
                <c:pt idx="20">
                  <c:v>43830</c:v>
                </c:pt>
                <c:pt idx="21">
                  <c:v>43861</c:v>
                </c:pt>
                <c:pt idx="22">
                  <c:v>43890</c:v>
                </c:pt>
                <c:pt idx="23">
                  <c:v>43921</c:v>
                </c:pt>
                <c:pt idx="24">
                  <c:v>43951</c:v>
                </c:pt>
                <c:pt idx="25">
                  <c:v>43982</c:v>
                </c:pt>
                <c:pt idx="26">
                  <c:v>44012</c:v>
                </c:pt>
                <c:pt idx="27">
                  <c:v>44043</c:v>
                </c:pt>
                <c:pt idx="28">
                  <c:v>44074</c:v>
                </c:pt>
                <c:pt idx="29">
                  <c:v>44104</c:v>
                </c:pt>
                <c:pt idx="30">
                  <c:v>44135</c:v>
                </c:pt>
                <c:pt idx="31">
                  <c:v>44165</c:v>
                </c:pt>
                <c:pt idx="32">
                  <c:v>44196</c:v>
                </c:pt>
              </c:numCache>
            </c:numRef>
          </c:cat>
          <c:val>
            <c:numRef>
              <c:f>'Exp Smoothing - Blue GPN'!$B$2:$B$34</c:f>
              <c:numCache>
                <c:formatCode>_(* #,##0_);_(* \(#,##0\);_(* "-"??_);_(@_)</c:formatCode>
                <c:ptCount val="33"/>
                <c:pt idx="0">
                  <c:v>5</c:v>
                </c:pt>
                <c:pt idx="1">
                  <c:v>321</c:v>
                </c:pt>
                <c:pt idx="2">
                  <c:v>697</c:v>
                </c:pt>
                <c:pt idx="3">
                  <c:v>3785</c:v>
                </c:pt>
                <c:pt idx="4">
                  <c:v>3551</c:v>
                </c:pt>
                <c:pt idx="5">
                  <c:v>1218</c:v>
                </c:pt>
                <c:pt idx="6">
                  <c:v>1194</c:v>
                </c:pt>
                <c:pt idx="7">
                  <c:v>831</c:v>
                </c:pt>
                <c:pt idx="8">
                  <c:v>1299</c:v>
                </c:pt>
                <c:pt idx="9">
                  <c:v>1069</c:v>
                </c:pt>
                <c:pt idx="10">
                  <c:v>793</c:v>
                </c:pt>
                <c:pt idx="11">
                  <c:v>699</c:v>
                </c:pt>
                <c:pt idx="12">
                  <c:v>810</c:v>
                </c:pt>
                <c:pt idx="13">
                  <c:v>976</c:v>
                </c:pt>
                <c:pt idx="14">
                  <c:v>1009</c:v>
                </c:pt>
                <c:pt idx="15">
                  <c:v>1823</c:v>
                </c:pt>
                <c:pt idx="16">
                  <c:v>2186</c:v>
                </c:pt>
                <c:pt idx="17">
                  <c:v>3076</c:v>
                </c:pt>
                <c:pt idx="18">
                  <c:v>3630</c:v>
                </c:pt>
                <c:pt idx="19">
                  <c:v>2653</c:v>
                </c:pt>
                <c:pt idx="20">
                  <c:v>3338</c:v>
                </c:pt>
                <c:pt idx="21">
                  <c:v>3023</c:v>
                </c:pt>
                <c:pt idx="22">
                  <c:v>2302</c:v>
                </c:pt>
                <c:pt idx="23">
                  <c:v>3344</c:v>
                </c:pt>
                <c:pt idx="24">
                  <c:v>2201</c:v>
                </c:pt>
                <c:pt idx="25">
                  <c:v>2030</c:v>
                </c:pt>
                <c:pt idx="26">
                  <c:v>1916</c:v>
                </c:pt>
                <c:pt idx="27">
                  <c:v>489</c:v>
                </c:pt>
                <c:pt idx="28">
                  <c:v>437</c:v>
                </c:pt>
                <c:pt idx="29">
                  <c:v>472</c:v>
                </c:pt>
                <c:pt idx="30">
                  <c:v>415</c:v>
                </c:pt>
                <c:pt idx="31">
                  <c:v>468</c:v>
                </c:pt>
                <c:pt idx="32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2-48AD-81A6-C39AEFC3393D}"/>
            </c:ext>
          </c:extLst>
        </c:ser>
        <c:ser>
          <c:idx val="1"/>
          <c:order val="1"/>
          <c:tx>
            <c:strRef>
              <c:f>'Exp Smoothing - Blue GPN'!$C$1</c:f>
              <c:strCache>
                <c:ptCount val="1"/>
                <c:pt idx="0">
                  <c:v>Forecast_EOM</c:v>
                </c:pt>
              </c:strCache>
            </c:strRef>
          </c:tx>
          <c:cat>
            <c:numRef>
              <c:f>'Exp Smoothing - Blue GPN'!$A$2:$A$34</c:f>
              <c:numCache>
                <c:formatCode>m/d/yyyy</c:formatCode>
                <c:ptCount val="33"/>
                <c:pt idx="0">
                  <c:v>43220</c:v>
                </c:pt>
                <c:pt idx="1">
                  <c:v>43251</c:v>
                </c:pt>
                <c:pt idx="2">
                  <c:v>43281</c:v>
                </c:pt>
                <c:pt idx="3">
                  <c:v>43312</c:v>
                </c:pt>
                <c:pt idx="4">
                  <c:v>43343</c:v>
                </c:pt>
                <c:pt idx="5">
                  <c:v>43373</c:v>
                </c:pt>
                <c:pt idx="6">
                  <c:v>43404</c:v>
                </c:pt>
                <c:pt idx="7">
                  <c:v>43434</c:v>
                </c:pt>
                <c:pt idx="8">
                  <c:v>43465</c:v>
                </c:pt>
                <c:pt idx="9">
                  <c:v>43496</c:v>
                </c:pt>
                <c:pt idx="10">
                  <c:v>43524</c:v>
                </c:pt>
                <c:pt idx="11">
                  <c:v>43555</c:v>
                </c:pt>
                <c:pt idx="12">
                  <c:v>43585</c:v>
                </c:pt>
                <c:pt idx="13">
                  <c:v>43616</c:v>
                </c:pt>
                <c:pt idx="14">
                  <c:v>43646</c:v>
                </c:pt>
                <c:pt idx="15">
                  <c:v>43677</c:v>
                </c:pt>
                <c:pt idx="16">
                  <c:v>43708</c:v>
                </c:pt>
                <c:pt idx="17">
                  <c:v>43738</c:v>
                </c:pt>
                <c:pt idx="18">
                  <c:v>43769</c:v>
                </c:pt>
                <c:pt idx="19">
                  <c:v>43799</c:v>
                </c:pt>
                <c:pt idx="20">
                  <c:v>43830</c:v>
                </c:pt>
                <c:pt idx="21">
                  <c:v>43861</c:v>
                </c:pt>
                <c:pt idx="22">
                  <c:v>43890</c:v>
                </c:pt>
                <c:pt idx="23">
                  <c:v>43921</c:v>
                </c:pt>
                <c:pt idx="24">
                  <c:v>43951</c:v>
                </c:pt>
                <c:pt idx="25">
                  <c:v>43982</c:v>
                </c:pt>
                <c:pt idx="26">
                  <c:v>44012</c:v>
                </c:pt>
                <c:pt idx="27">
                  <c:v>44043</c:v>
                </c:pt>
                <c:pt idx="28">
                  <c:v>44074</c:v>
                </c:pt>
                <c:pt idx="29">
                  <c:v>44104</c:v>
                </c:pt>
                <c:pt idx="30">
                  <c:v>44135</c:v>
                </c:pt>
                <c:pt idx="31">
                  <c:v>44165</c:v>
                </c:pt>
                <c:pt idx="32">
                  <c:v>44196</c:v>
                </c:pt>
              </c:numCache>
            </c:numRef>
          </c:cat>
          <c:val>
            <c:numRef>
              <c:f>'Exp Smoothing - Blue GPN'!$C$2:$C$34</c:f>
              <c:numCache>
                <c:formatCode>_(* #,##0_);_(* \(#,##0\);_(* "-"??_);_(@_)</c:formatCode>
                <c:ptCount val="33"/>
                <c:pt idx="0">
                  <c:v>5</c:v>
                </c:pt>
                <c:pt idx="1">
                  <c:v>5</c:v>
                </c:pt>
                <c:pt idx="2">
                  <c:v>226.2</c:v>
                </c:pt>
                <c:pt idx="3">
                  <c:v>555.76</c:v>
                </c:pt>
                <c:pt idx="4">
                  <c:v>2816.2280000000001</c:v>
                </c:pt>
                <c:pt idx="5">
                  <c:v>3330.5684000000001</c:v>
                </c:pt>
                <c:pt idx="6">
                  <c:v>1851.77052</c:v>
                </c:pt>
                <c:pt idx="7">
                  <c:v>1391.3311560000002</c:v>
                </c:pt>
                <c:pt idx="8">
                  <c:v>999.09934680000003</c:v>
                </c:pt>
                <c:pt idx="9">
                  <c:v>1209.02980404</c:v>
                </c:pt>
                <c:pt idx="10">
                  <c:v>1111.0089412120001</c:v>
                </c:pt>
                <c:pt idx="11">
                  <c:v>888.40268236359998</c:v>
                </c:pt>
                <c:pt idx="12">
                  <c:v>755.82080470907999</c:v>
                </c:pt>
                <c:pt idx="13">
                  <c:v>793.74624141272398</c:v>
                </c:pt>
                <c:pt idx="14">
                  <c:v>921.32387242381719</c:v>
                </c:pt>
                <c:pt idx="15">
                  <c:v>982.69716172714516</c:v>
                </c:pt>
                <c:pt idx="16">
                  <c:v>1570.9091485181434</c:v>
                </c:pt>
                <c:pt idx="17">
                  <c:v>2001.4727445554429</c:v>
                </c:pt>
                <c:pt idx="18">
                  <c:v>2753.6418233666327</c:v>
                </c:pt>
                <c:pt idx="19">
                  <c:v>3367.0925470099901</c:v>
                </c:pt>
                <c:pt idx="20">
                  <c:v>2867.2277641029968</c:v>
                </c:pt>
                <c:pt idx="21">
                  <c:v>3196.7683292308993</c:v>
                </c:pt>
                <c:pt idx="22">
                  <c:v>3075.1304987692697</c:v>
                </c:pt>
                <c:pt idx="23">
                  <c:v>2533.9391496307808</c:v>
                </c:pt>
                <c:pt idx="24">
                  <c:v>3100.9817448892341</c:v>
                </c:pt>
                <c:pt idx="25">
                  <c:v>2470.9945234667703</c:v>
                </c:pt>
                <c:pt idx="26">
                  <c:v>2162.2983570400311</c:v>
                </c:pt>
                <c:pt idx="27">
                  <c:v>1989.8895071120091</c:v>
                </c:pt>
                <c:pt idx="28">
                  <c:v>939.26685213360281</c:v>
                </c:pt>
                <c:pt idx="29">
                  <c:v>587.68005564008081</c:v>
                </c:pt>
                <c:pt idx="30">
                  <c:v>506.70401669202425</c:v>
                </c:pt>
                <c:pt idx="31">
                  <c:v>442.51120500760726</c:v>
                </c:pt>
                <c:pt idx="32">
                  <c:v>460.35336150228216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2-48AD-81A6-C39AEFC33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693120"/>
        <c:axId val="248694656"/>
      </c:lineChart>
      <c:dateAx>
        <c:axId val="248693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694656"/>
        <c:crosses val="autoZero"/>
        <c:auto val="1"/>
        <c:lblOffset val="100"/>
        <c:baseTimeUnit val="months"/>
      </c:dateAx>
      <c:valAx>
        <c:axId val="248694656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4869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Green'!$B$1</c:f>
              <c:strCache>
                <c:ptCount val="1"/>
                <c:pt idx="0">
                  <c:v>Demand</c:v>
                </c:pt>
              </c:strCache>
            </c:strRef>
          </c:tx>
          <c:cat>
            <c:numRef>
              <c:f>'Exp Smoothing - Green'!$A$2:$A$37</c:f>
              <c:numCache>
                <c:formatCode>m/d/yyyy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'Exp Smoothing - Green'!$B$2:$B$37</c:f>
              <c:numCache>
                <c:formatCode>_(* #,##0_);_(* \(#,##0\);_(* "-"??_);_(@_)</c:formatCode>
                <c:ptCount val="36"/>
                <c:pt idx="0">
                  <c:v>823</c:v>
                </c:pt>
                <c:pt idx="1">
                  <c:v>682</c:v>
                </c:pt>
                <c:pt idx="2">
                  <c:v>829</c:v>
                </c:pt>
                <c:pt idx="3">
                  <c:v>800</c:v>
                </c:pt>
                <c:pt idx="4">
                  <c:v>753</c:v>
                </c:pt>
                <c:pt idx="5">
                  <c:v>687</c:v>
                </c:pt>
                <c:pt idx="6">
                  <c:v>1253</c:v>
                </c:pt>
                <c:pt idx="7">
                  <c:v>1344</c:v>
                </c:pt>
                <c:pt idx="8">
                  <c:v>1402</c:v>
                </c:pt>
                <c:pt idx="9">
                  <c:v>1114</c:v>
                </c:pt>
                <c:pt idx="10">
                  <c:v>933</c:v>
                </c:pt>
                <c:pt idx="11">
                  <c:v>868</c:v>
                </c:pt>
                <c:pt idx="12">
                  <c:v>1089</c:v>
                </c:pt>
                <c:pt idx="13">
                  <c:v>965</c:v>
                </c:pt>
                <c:pt idx="14">
                  <c:v>1107</c:v>
                </c:pt>
                <c:pt idx="15">
                  <c:v>1240</c:v>
                </c:pt>
                <c:pt idx="16">
                  <c:v>1452</c:v>
                </c:pt>
                <c:pt idx="17">
                  <c:v>1537</c:v>
                </c:pt>
                <c:pt idx="18">
                  <c:v>2305</c:v>
                </c:pt>
                <c:pt idx="19">
                  <c:v>2618</c:v>
                </c:pt>
                <c:pt idx="20">
                  <c:v>3081</c:v>
                </c:pt>
                <c:pt idx="21">
                  <c:v>3064</c:v>
                </c:pt>
                <c:pt idx="22">
                  <c:v>2932</c:v>
                </c:pt>
                <c:pt idx="23">
                  <c:v>3563</c:v>
                </c:pt>
                <c:pt idx="24">
                  <c:v>3483</c:v>
                </c:pt>
                <c:pt idx="25">
                  <c:v>1662</c:v>
                </c:pt>
                <c:pt idx="26">
                  <c:v>117</c:v>
                </c:pt>
                <c:pt idx="27">
                  <c:v>626</c:v>
                </c:pt>
                <c:pt idx="28">
                  <c:v>2199</c:v>
                </c:pt>
                <c:pt idx="29">
                  <c:v>2147</c:v>
                </c:pt>
                <c:pt idx="30">
                  <c:v>667</c:v>
                </c:pt>
                <c:pt idx="31">
                  <c:v>664</c:v>
                </c:pt>
                <c:pt idx="32">
                  <c:v>650</c:v>
                </c:pt>
                <c:pt idx="33">
                  <c:v>723</c:v>
                </c:pt>
                <c:pt idx="34">
                  <c:v>1072</c:v>
                </c:pt>
                <c:pt idx="35">
                  <c:v>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9-43E4-8355-42B162205EAF}"/>
            </c:ext>
          </c:extLst>
        </c:ser>
        <c:ser>
          <c:idx val="1"/>
          <c:order val="1"/>
          <c:tx>
            <c:strRef>
              <c:f>'Exp Smoothing - Green'!$C$1</c:f>
              <c:strCache>
                <c:ptCount val="1"/>
                <c:pt idx="0">
                  <c:v>Forecast_EOM</c:v>
                </c:pt>
              </c:strCache>
            </c:strRef>
          </c:tx>
          <c:cat>
            <c:numRef>
              <c:f>'Exp Smoothing - Green'!$A$2:$A$37</c:f>
              <c:numCache>
                <c:formatCode>m/d/yyyy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'Exp Smoothing - Green'!$C$2:$C$37</c:f>
              <c:numCache>
                <c:formatCode>_(* #,##0_);_(* \(#,##0\);_(* "-"??_);_(@_)</c:formatCode>
                <c:ptCount val="36"/>
                <c:pt idx="0">
                  <c:v>823</c:v>
                </c:pt>
                <c:pt idx="1">
                  <c:v>823</c:v>
                </c:pt>
                <c:pt idx="2">
                  <c:v>724.3</c:v>
                </c:pt>
                <c:pt idx="3">
                  <c:v>797.58999999999992</c:v>
                </c:pt>
                <c:pt idx="4">
                  <c:v>799.27700000000004</c:v>
                </c:pt>
                <c:pt idx="5">
                  <c:v>766.88310000000001</c:v>
                </c:pt>
                <c:pt idx="6">
                  <c:v>710.96492999999998</c:v>
                </c:pt>
                <c:pt idx="7">
                  <c:v>1090.3894789999999</c:v>
                </c:pt>
                <c:pt idx="8">
                  <c:v>1267.9168436999998</c:v>
                </c:pt>
                <c:pt idx="9">
                  <c:v>1361.77505311</c:v>
                </c:pt>
                <c:pt idx="10">
                  <c:v>1188.332515933</c:v>
                </c:pt>
                <c:pt idx="11">
                  <c:v>1009.5997547799</c:v>
                </c:pt>
                <c:pt idx="12">
                  <c:v>910.47992643396992</c:v>
                </c:pt>
                <c:pt idx="13">
                  <c:v>1035.4439779301911</c:v>
                </c:pt>
                <c:pt idx="14">
                  <c:v>986.13319337905739</c:v>
                </c:pt>
                <c:pt idx="15">
                  <c:v>1070.7399580137171</c:v>
                </c:pt>
                <c:pt idx="16">
                  <c:v>1189.2219874041152</c:v>
                </c:pt>
                <c:pt idx="17">
                  <c:v>1373.1665962212346</c:v>
                </c:pt>
                <c:pt idx="18">
                  <c:v>1487.8499788663703</c:v>
                </c:pt>
                <c:pt idx="19">
                  <c:v>2059.8549936599111</c:v>
                </c:pt>
                <c:pt idx="20">
                  <c:v>2450.5564980979734</c:v>
                </c:pt>
                <c:pt idx="21">
                  <c:v>2891.8669494293918</c:v>
                </c:pt>
                <c:pt idx="22">
                  <c:v>3012.3600848288174</c:v>
                </c:pt>
                <c:pt idx="23">
                  <c:v>2956.1080254486455</c:v>
                </c:pt>
                <c:pt idx="24">
                  <c:v>3380.9324076345938</c:v>
                </c:pt>
                <c:pt idx="25">
                  <c:v>3452.3797222903781</c:v>
                </c:pt>
                <c:pt idx="26">
                  <c:v>2199.1139166871135</c:v>
                </c:pt>
                <c:pt idx="27">
                  <c:v>741.63417500613411</c:v>
                </c:pt>
                <c:pt idx="28">
                  <c:v>660.69025250184029</c:v>
                </c:pt>
                <c:pt idx="29">
                  <c:v>1737.5070757505521</c:v>
                </c:pt>
                <c:pt idx="30">
                  <c:v>2024.1521227251656</c:v>
                </c:pt>
                <c:pt idx="31">
                  <c:v>1074.1456368175498</c:v>
                </c:pt>
                <c:pt idx="32">
                  <c:v>787.04369104526495</c:v>
                </c:pt>
                <c:pt idx="33">
                  <c:v>691.11310731357946</c:v>
                </c:pt>
                <c:pt idx="34">
                  <c:v>713.4339321940738</c:v>
                </c:pt>
                <c:pt idx="35">
                  <c:v>964.43017965822219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9-43E4-8355-42B162205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875648"/>
        <c:axId val="248889728"/>
      </c:lineChart>
      <c:dateAx>
        <c:axId val="248875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889728"/>
        <c:crosses val="autoZero"/>
        <c:auto val="1"/>
        <c:lblOffset val="100"/>
        <c:baseTimeUnit val="months"/>
      </c:dateAx>
      <c:valAx>
        <c:axId val="24888972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488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Purple'!$B$1</c:f>
              <c:strCache>
                <c:ptCount val="1"/>
                <c:pt idx="0">
                  <c:v>Demand</c:v>
                </c:pt>
              </c:strCache>
            </c:strRef>
          </c:tx>
          <c:cat>
            <c:numRef>
              <c:f>'Exp Smoothing - Purple'!$A$2:$A$37</c:f>
              <c:numCache>
                <c:formatCode>m/d/yyyy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'Exp Smoothing - Purple'!$B$2:$B$37</c:f>
              <c:numCache>
                <c:formatCode>_(* #,##0_);_(* \(#,##0\);_(* "-"??_);_(@_)</c:formatCode>
                <c:ptCount val="36"/>
                <c:pt idx="0">
                  <c:v>1248</c:v>
                </c:pt>
                <c:pt idx="1">
                  <c:v>972</c:v>
                </c:pt>
                <c:pt idx="2">
                  <c:v>1371</c:v>
                </c:pt>
                <c:pt idx="3">
                  <c:v>1000</c:v>
                </c:pt>
                <c:pt idx="4">
                  <c:v>964</c:v>
                </c:pt>
                <c:pt idx="5">
                  <c:v>827</c:v>
                </c:pt>
                <c:pt idx="6">
                  <c:v>1571</c:v>
                </c:pt>
                <c:pt idx="7">
                  <c:v>1547</c:v>
                </c:pt>
                <c:pt idx="8">
                  <c:v>1576</c:v>
                </c:pt>
                <c:pt idx="9">
                  <c:v>1376</c:v>
                </c:pt>
                <c:pt idx="10">
                  <c:v>1144</c:v>
                </c:pt>
                <c:pt idx="11">
                  <c:v>1148</c:v>
                </c:pt>
                <c:pt idx="12">
                  <c:v>1358</c:v>
                </c:pt>
                <c:pt idx="13">
                  <c:v>1157</c:v>
                </c:pt>
                <c:pt idx="14">
                  <c:v>1372</c:v>
                </c:pt>
                <c:pt idx="15">
                  <c:v>1727</c:v>
                </c:pt>
                <c:pt idx="16">
                  <c:v>2207</c:v>
                </c:pt>
                <c:pt idx="17">
                  <c:v>2286</c:v>
                </c:pt>
                <c:pt idx="18">
                  <c:v>3750</c:v>
                </c:pt>
                <c:pt idx="19">
                  <c:v>3961</c:v>
                </c:pt>
                <c:pt idx="20">
                  <c:v>983</c:v>
                </c:pt>
                <c:pt idx="21">
                  <c:v>203</c:v>
                </c:pt>
                <c:pt idx="22">
                  <c:v>110</c:v>
                </c:pt>
                <c:pt idx="23">
                  <c:v>3205</c:v>
                </c:pt>
                <c:pt idx="24">
                  <c:v>3809</c:v>
                </c:pt>
                <c:pt idx="25">
                  <c:v>2280</c:v>
                </c:pt>
                <c:pt idx="26">
                  <c:v>117</c:v>
                </c:pt>
                <c:pt idx="27">
                  <c:v>646</c:v>
                </c:pt>
                <c:pt idx="28">
                  <c:v>2353</c:v>
                </c:pt>
                <c:pt idx="29">
                  <c:v>2371</c:v>
                </c:pt>
                <c:pt idx="30">
                  <c:v>672</c:v>
                </c:pt>
                <c:pt idx="31">
                  <c:v>716</c:v>
                </c:pt>
                <c:pt idx="32">
                  <c:v>709</c:v>
                </c:pt>
                <c:pt idx="33">
                  <c:v>777</c:v>
                </c:pt>
                <c:pt idx="34">
                  <c:v>1204</c:v>
                </c:pt>
                <c:pt idx="35">
                  <c:v>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D-4D28-916B-BF1B13616CDC}"/>
            </c:ext>
          </c:extLst>
        </c:ser>
        <c:ser>
          <c:idx val="1"/>
          <c:order val="1"/>
          <c:tx>
            <c:strRef>
              <c:f>'Exp Smoothing - Purple'!$C$1</c:f>
              <c:strCache>
                <c:ptCount val="1"/>
                <c:pt idx="0">
                  <c:v>Forecast_EOM</c:v>
                </c:pt>
              </c:strCache>
            </c:strRef>
          </c:tx>
          <c:cat>
            <c:numRef>
              <c:f>'Exp Smoothing - Purple'!$A$2:$A$37</c:f>
              <c:numCache>
                <c:formatCode>m/d/yyyy</c:formatCode>
                <c:ptCount val="36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</c:numCache>
            </c:numRef>
          </c:cat>
          <c:val>
            <c:numRef>
              <c:f>'Exp Smoothing - Purple'!$C$2:$C$37</c:f>
              <c:numCache>
                <c:formatCode>_(* #,##0_);_(* \(#,##0\);_(* "-"??_);_(@_)</c:formatCode>
                <c:ptCount val="36"/>
                <c:pt idx="0">
                  <c:v>1248</c:v>
                </c:pt>
                <c:pt idx="1">
                  <c:v>1248</c:v>
                </c:pt>
                <c:pt idx="2">
                  <c:v>1054.8</c:v>
                </c:pt>
                <c:pt idx="3">
                  <c:v>1276.1399999999999</c:v>
                </c:pt>
                <c:pt idx="4">
                  <c:v>1082.8420000000001</c:v>
                </c:pt>
                <c:pt idx="5">
                  <c:v>999.65260000000001</c:v>
                </c:pt>
                <c:pt idx="6">
                  <c:v>878.79578000000004</c:v>
                </c:pt>
                <c:pt idx="7">
                  <c:v>1363.3387339999999</c:v>
                </c:pt>
                <c:pt idx="8">
                  <c:v>1491.9016201999998</c:v>
                </c:pt>
                <c:pt idx="9">
                  <c:v>1550.7704860599997</c:v>
                </c:pt>
                <c:pt idx="10">
                  <c:v>1428.431145818</c:v>
                </c:pt>
                <c:pt idx="11">
                  <c:v>1229.3293437453999</c:v>
                </c:pt>
                <c:pt idx="12">
                  <c:v>1172.3988031236199</c:v>
                </c:pt>
                <c:pt idx="13">
                  <c:v>1302.319640937086</c:v>
                </c:pt>
                <c:pt idx="14">
                  <c:v>1200.5958922811258</c:v>
                </c:pt>
                <c:pt idx="15">
                  <c:v>1320.5787676843379</c:v>
                </c:pt>
                <c:pt idx="16">
                  <c:v>1605.0736303053013</c:v>
                </c:pt>
                <c:pt idx="17">
                  <c:v>2026.4220890915904</c:v>
                </c:pt>
                <c:pt idx="18">
                  <c:v>2208.1266267274768</c:v>
                </c:pt>
                <c:pt idx="19">
                  <c:v>3287.4379880182432</c:v>
                </c:pt>
                <c:pt idx="20">
                  <c:v>3758.9313964054727</c:v>
                </c:pt>
                <c:pt idx="21">
                  <c:v>1815.779418921642</c:v>
                </c:pt>
                <c:pt idx="22">
                  <c:v>686.83382567649267</c:v>
                </c:pt>
                <c:pt idx="23">
                  <c:v>283.05014770294781</c:v>
                </c:pt>
                <c:pt idx="24">
                  <c:v>2328.4150443108842</c:v>
                </c:pt>
                <c:pt idx="25">
                  <c:v>3364.8245132932652</c:v>
                </c:pt>
                <c:pt idx="26">
                  <c:v>2605.4473539879796</c:v>
                </c:pt>
                <c:pt idx="27">
                  <c:v>863.53420619639394</c:v>
                </c:pt>
                <c:pt idx="28">
                  <c:v>711.26026185891828</c:v>
                </c:pt>
                <c:pt idx="29">
                  <c:v>1860.4780785576754</c:v>
                </c:pt>
                <c:pt idx="30">
                  <c:v>2217.8434235673026</c:v>
                </c:pt>
                <c:pt idx="31">
                  <c:v>1135.7530270701909</c:v>
                </c:pt>
                <c:pt idx="32">
                  <c:v>841.92590812105732</c:v>
                </c:pt>
                <c:pt idx="33">
                  <c:v>748.87777243631717</c:v>
                </c:pt>
                <c:pt idx="34">
                  <c:v>768.56333173089513</c:v>
                </c:pt>
                <c:pt idx="35">
                  <c:v>1073.3689995192685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D-4D28-916B-BF1B13616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935936"/>
        <c:axId val="248937472"/>
      </c:lineChart>
      <c:dateAx>
        <c:axId val="248935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937472"/>
        <c:crosses val="autoZero"/>
        <c:auto val="1"/>
        <c:lblOffset val="100"/>
        <c:baseTimeUnit val="months"/>
      </c:dateAx>
      <c:valAx>
        <c:axId val="248937472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48935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Green Special'!$B$1</c:f>
              <c:strCache>
                <c:ptCount val="1"/>
                <c:pt idx="0">
                  <c:v>Demand</c:v>
                </c:pt>
              </c:strCache>
            </c:strRef>
          </c:tx>
          <c:cat>
            <c:numRef>
              <c:f>'Exp Smoothing - Green Special'!$A$2:$A$37</c:f>
              <c:numCache>
                <c:formatCode>m/d/yyyy</c:formatCode>
                <c:ptCount val="36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  <c:pt idx="13">
                  <c:v>45322</c:v>
                </c:pt>
                <c:pt idx="14">
                  <c:v>45351</c:v>
                </c:pt>
                <c:pt idx="15">
                  <c:v>45382</c:v>
                </c:pt>
                <c:pt idx="16">
                  <c:v>45412</c:v>
                </c:pt>
                <c:pt idx="17">
                  <c:v>45443</c:v>
                </c:pt>
                <c:pt idx="18">
                  <c:v>45473</c:v>
                </c:pt>
              </c:numCache>
            </c:numRef>
          </c:cat>
          <c:val>
            <c:numRef>
              <c:f>'Exp Smoothing - Green Special'!$B$2:$B$37</c:f>
              <c:numCache>
                <c:formatCode>General</c:formatCode>
                <c:ptCount val="36"/>
                <c:pt idx="0">
                  <c:v>154</c:v>
                </c:pt>
                <c:pt idx="1">
                  <c:v>197</c:v>
                </c:pt>
                <c:pt idx="2">
                  <c:v>151</c:v>
                </c:pt>
                <c:pt idx="3">
                  <c:v>167</c:v>
                </c:pt>
                <c:pt idx="4">
                  <c:v>168</c:v>
                </c:pt>
                <c:pt idx="5">
                  <c:v>198</c:v>
                </c:pt>
                <c:pt idx="6">
                  <c:v>191</c:v>
                </c:pt>
                <c:pt idx="7">
                  <c:v>125</c:v>
                </c:pt>
                <c:pt idx="8">
                  <c:v>3281</c:v>
                </c:pt>
                <c:pt idx="9">
                  <c:v>474</c:v>
                </c:pt>
                <c:pt idx="10">
                  <c:v>402</c:v>
                </c:pt>
                <c:pt idx="11">
                  <c:v>364</c:v>
                </c:pt>
                <c:pt idx="12">
                  <c:v>437</c:v>
                </c:pt>
                <c:pt idx="13">
                  <c:v>538</c:v>
                </c:pt>
                <c:pt idx="14">
                  <c:v>165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E-4B1B-876C-A31219D9EF44}"/>
            </c:ext>
          </c:extLst>
        </c:ser>
        <c:ser>
          <c:idx val="1"/>
          <c:order val="1"/>
          <c:tx>
            <c:strRef>
              <c:f>'Exp Smoothing - Green Special'!$C$1</c:f>
              <c:strCache>
                <c:ptCount val="1"/>
                <c:pt idx="0">
                  <c:v>Forecast_EOM</c:v>
                </c:pt>
              </c:strCache>
            </c:strRef>
          </c:tx>
          <c:cat>
            <c:numRef>
              <c:f>'Exp Smoothing - Green Special'!$A$2:$A$37</c:f>
              <c:numCache>
                <c:formatCode>m/d/yyyy</c:formatCode>
                <c:ptCount val="36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  <c:pt idx="13">
                  <c:v>45322</c:v>
                </c:pt>
                <c:pt idx="14">
                  <c:v>45351</c:v>
                </c:pt>
                <c:pt idx="15">
                  <c:v>45382</c:v>
                </c:pt>
                <c:pt idx="16">
                  <c:v>45412</c:v>
                </c:pt>
                <c:pt idx="17">
                  <c:v>45443</c:v>
                </c:pt>
                <c:pt idx="18">
                  <c:v>45473</c:v>
                </c:pt>
              </c:numCache>
            </c:numRef>
          </c:cat>
          <c:val>
            <c:numRef>
              <c:f>'Exp Smoothing - Green Special'!$C$2:$C$37</c:f>
              <c:numCache>
                <c:formatCode>0</c:formatCode>
                <c:ptCount val="36"/>
                <c:pt idx="0">
                  <c:v>154</c:v>
                </c:pt>
                <c:pt idx="1">
                  <c:v>154</c:v>
                </c:pt>
                <c:pt idx="2">
                  <c:v>184.1</c:v>
                </c:pt>
                <c:pt idx="3">
                  <c:v>160.93</c:v>
                </c:pt>
                <c:pt idx="4">
                  <c:v>165.179</c:v>
                </c:pt>
                <c:pt idx="5">
                  <c:v>167.15370000000001</c:v>
                </c:pt>
                <c:pt idx="6">
                  <c:v>188.74611000000002</c:v>
                </c:pt>
                <c:pt idx="7">
                  <c:v>190.32383300000001</c:v>
                </c:pt>
                <c:pt idx="8">
                  <c:v>144.59714990000001</c:v>
                </c:pt>
                <c:pt idx="9">
                  <c:v>2340.07914497</c:v>
                </c:pt>
                <c:pt idx="10">
                  <c:v>1033.8237434910002</c:v>
                </c:pt>
                <c:pt idx="11">
                  <c:v>591.54712304730015</c:v>
                </c:pt>
                <c:pt idx="12">
                  <c:v>432.26413691419009</c:v>
                </c:pt>
                <c:pt idx="13">
                  <c:v>435.57924107425703</c:v>
                </c:pt>
                <c:pt idx="14">
                  <c:v>507.27377232227707</c:v>
                </c:pt>
                <c:pt idx="15">
                  <c:v>267.68213169668314</c:v>
                </c:pt>
                <c:pt idx="16">
                  <c:v>80.304639509004957</c:v>
                </c:pt>
                <c:pt idx="17">
                  <c:v>24.091391852701491</c:v>
                </c:pt>
                <c:pt idx="18">
                  <c:v>7.2274175558104483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DE-4B1B-876C-A31219D9E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875648"/>
        <c:axId val="248889728"/>
      </c:lineChart>
      <c:dateAx>
        <c:axId val="248875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8889728"/>
        <c:crosses val="autoZero"/>
        <c:auto val="1"/>
        <c:lblOffset val="100"/>
        <c:baseTimeUnit val="months"/>
      </c:dateAx>
      <c:valAx>
        <c:axId val="248889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8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17</xdr:row>
      <xdr:rowOff>118110</xdr:rowOff>
    </xdr:from>
    <xdr:to>
      <xdr:col>32</xdr:col>
      <xdr:colOff>335280</xdr:colOff>
      <xdr:row>38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349250</xdr:colOff>
      <xdr:row>5</xdr:row>
      <xdr:rowOff>82550</xdr:rowOff>
    </xdr:from>
    <xdr:to>
      <xdr:col>14</xdr:col>
      <xdr:colOff>576580</xdr:colOff>
      <xdr:row>20</xdr:row>
      <xdr:rowOff>78740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206375</xdr:colOff>
      <xdr:row>3</xdr:row>
      <xdr:rowOff>95250</xdr:rowOff>
    </xdr:from>
    <xdr:to>
      <xdr:col>14</xdr:col>
      <xdr:colOff>511175</xdr:colOff>
      <xdr:row>18</xdr:row>
      <xdr:rowOff>76206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E0A69-9DDB-F027-02F1-4157B0C9F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511175</xdr:colOff>
      <xdr:row>4</xdr:row>
      <xdr:rowOff>12700</xdr:rowOff>
    </xdr:from>
    <xdr:to>
      <xdr:col>14</xdr:col>
      <xdr:colOff>206375</xdr:colOff>
      <xdr:row>18</xdr:row>
      <xdr:rowOff>177806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DAB1B-1F92-79A4-453B-9BB494986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6350</xdr:rowOff>
    </xdr:from>
    <xdr:to>
      <xdr:col>14</xdr:col>
      <xdr:colOff>238125</xdr:colOff>
      <xdr:row>18</xdr:row>
      <xdr:rowOff>171456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E7BBC5-5215-6DB5-3E88-182ED09E5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44823</xdr:colOff>
      <xdr:row>3</xdr:row>
      <xdr:rowOff>107577</xdr:rowOff>
    </xdr:from>
    <xdr:to>
      <xdr:col>17</xdr:col>
      <xdr:colOff>328705</xdr:colOff>
      <xdr:row>18</xdr:row>
      <xdr:rowOff>49306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8E943A-5E4D-5F9E-F73F-F7BB3AB46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3</xdr:row>
      <xdr:rowOff>96837</xdr:rowOff>
    </xdr:from>
    <xdr:to>
      <xdr:col>17</xdr:col>
      <xdr:colOff>457200</xdr:colOff>
      <xdr:row>17</xdr:row>
      <xdr:rowOff>169862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24EABA-7CC5-47E3-A483-B4BB03DAD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536575</xdr:colOff>
      <xdr:row>9</xdr:row>
      <xdr:rowOff>133350</xdr:rowOff>
    </xdr:from>
    <xdr:to>
      <xdr:col>14</xdr:col>
      <xdr:colOff>85725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EC8241-27A9-7843-9EEC-6DCAB040D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415219</xdr:colOff>
      <xdr:row>5</xdr:row>
      <xdr:rowOff>62442</xdr:rowOff>
    </xdr:from>
    <xdr:to>
      <xdr:col>23</xdr:col>
      <xdr:colOff>110419</xdr:colOff>
      <xdr:row>20</xdr:row>
      <xdr:rowOff>44097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B84FB-25FC-4AA6-83A1-72FE762A6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427181</xdr:colOff>
      <xdr:row>3</xdr:row>
      <xdr:rowOff>138545</xdr:rowOff>
    </xdr:from>
    <xdr:to>
      <xdr:col>16</xdr:col>
      <xdr:colOff>300180</xdr:colOff>
      <xdr:row>20</xdr:row>
      <xdr:rowOff>23090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FAE1D-D577-4540-8276-5E1D224F2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549275</xdr:colOff>
      <xdr:row>0</xdr:row>
      <xdr:rowOff>1587</xdr:rowOff>
    </xdr:from>
    <xdr:to>
      <xdr:col>18</xdr:col>
      <xdr:colOff>244475</xdr:colOff>
      <xdr:row>14</xdr:row>
      <xdr:rowOff>58737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0237F-8C3F-44C4-8F18-8BD4C8DCD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3</xdr:row>
      <xdr:rowOff>96837</xdr:rowOff>
    </xdr:from>
    <xdr:to>
      <xdr:col>17</xdr:col>
      <xdr:colOff>457200</xdr:colOff>
      <xdr:row>17</xdr:row>
      <xdr:rowOff>169862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C9615C-1F4A-461A-9AD2-706C359B7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76200</xdr:rowOff>
    </xdr:from>
    <xdr:to>
      <xdr:col>12</xdr:col>
      <xdr:colOff>333375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E6EFE-6A03-A6E8-EF74-A7FAA8D3D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577849</xdr:colOff>
      <xdr:row>6</xdr:row>
      <xdr:rowOff>38101</xdr:rowOff>
    </xdr:from>
    <xdr:to>
      <xdr:col>8</xdr:col>
      <xdr:colOff>568693</xdr:colOff>
      <xdr:row>17</xdr:row>
      <xdr:rowOff>18955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F5A82F-7C82-8756-C57F-6B1247F7F9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57" t="29696" r="18546" b="11275"/>
        <a:stretch/>
      </xdr:blipFill>
      <xdr:spPr>
        <a:xfrm>
          <a:off x="577849" y="1450265"/>
          <a:ext cx="4843381" cy="19616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95250</xdr:rowOff>
    </xdr:from>
    <xdr:to>
      <xdr:col>6</xdr:col>
      <xdr:colOff>463248</xdr:colOff>
      <xdr:row>33</xdr:row>
      <xdr:rowOff>132686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846C62-37A4-1485-77A1-F69D679443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498" b="57962"/>
        <a:stretch/>
      </xdr:blipFill>
      <xdr:spPr>
        <a:xfrm>
          <a:off x="625617" y="4388608"/>
          <a:ext cx="3477034" cy="2018257"/>
        </a:xfrm>
        <a:prstGeom prst="rect">
          <a:avLst/>
        </a:prstGeom>
      </xdr:spPr>
    </xdr:pic>
    <xdr:clientData/>
  </xdr:twoCellAnchor>
  <xdr:twoCellAnchor editAs="oneCell">
    <xdr:from>
      <xdr:col>10</xdr:col>
      <xdr:colOff>11980</xdr:colOff>
      <xdr:row>6</xdr:row>
      <xdr:rowOff>83868</xdr:rowOff>
    </xdr:from>
    <xdr:to>
      <xdr:col>18</xdr:col>
      <xdr:colOff>280716</xdr:colOff>
      <xdr:row>19</xdr:row>
      <xdr:rowOff>151642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A4B1F6-1046-BA3A-7A12-49A207827D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502"/>
        <a:stretch/>
      </xdr:blipFill>
      <xdr:spPr>
        <a:xfrm>
          <a:off x="6077652" y="1496032"/>
          <a:ext cx="5121273" cy="2408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25</xdr:col>
      <xdr:colOff>36253</xdr:colOff>
      <xdr:row>58</xdr:row>
      <xdr:rowOff>167736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5EC602C5-1B00-E490-33B7-BD172D9B3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11038" y="7739811"/>
          <a:ext cx="14701158" cy="3402642"/>
        </a:xfrm>
        <a:prstGeom prst="rect">
          <a:avLst/>
        </a:prstGeom>
      </xdr:spPr>
    </xdr:pic>
    <xdr:clientData/>
  </xdr:twoCellAnchor>
  <xdr:twoCellAnchor editAs="oneCell">
    <xdr:from>
      <xdr:col>0</xdr:col>
      <xdr:colOff>604761</xdr:colOff>
      <xdr:row>40</xdr:row>
      <xdr:rowOff>47925</xdr:rowOff>
    </xdr:from>
    <xdr:to>
      <xdr:col>9</xdr:col>
      <xdr:colOff>243291</xdr:colOff>
      <xdr:row>58</xdr:row>
      <xdr:rowOff>120952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5C41872-ADB8-42FE-2B26-4EADF2E2F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4761" y="7849354"/>
          <a:ext cx="5081387" cy="333874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18</xdr:col>
      <xdr:colOff>433413</xdr:colOff>
      <xdr:row>60</xdr:row>
      <xdr:rowOff>143582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BD585D-D909-C29D-C0DE-94EE85F5C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52381" y="7982857"/>
          <a:ext cx="4666746" cy="3590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16</xdr:col>
      <xdr:colOff>177291</xdr:colOff>
      <xdr:row>76</xdr:row>
      <xdr:rowOff>75674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425476-0F01-3F87-8677-354B54F2E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1038" y="11513868"/>
          <a:ext cx="9342857" cy="27714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3</xdr:row>
      <xdr:rowOff>0</xdr:rowOff>
    </xdr:from>
    <xdr:to>
      <xdr:col>25</xdr:col>
      <xdr:colOff>146050</xdr:colOff>
      <xdr:row>13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7B5F9-D73D-4C58-BF5A-EE6AF0B19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595312</xdr:colOff>
      <xdr:row>14</xdr:row>
      <xdr:rowOff>15874</xdr:rowOff>
    </xdr:from>
    <xdr:to>
      <xdr:col>25</xdr:col>
      <xdr:colOff>150813</xdr:colOff>
      <xdr:row>25</xdr:row>
      <xdr:rowOff>174624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4FC90B-1B5C-4A6E-B225-09B62D5C6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238125</xdr:colOff>
      <xdr:row>2</xdr:row>
      <xdr:rowOff>111124</xdr:rowOff>
    </xdr:from>
    <xdr:to>
      <xdr:col>31</xdr:col>
      <xdr:colOff>381000</xdr:colOff>
      <xdr:row>13</xdr:row>
      <xdr:rowOff>150813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68B6E-6F6B-40C3-A185-296C9A03B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222251</xdr:colOff>
      <xdr:row>14</xdr:row>
      <xdr:rowOff>31749</xdr:rowOff>
    </xdr:from>
    <xdr:to>
      <xdr:col>31</xdr:col>
      <xdr:colOff>373064</xdr:colOff>
      <xdr:row>25</xdr:row>
      <xdr:rowOff>174625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AAAE41-C7FB-4C00-BBD6-0BEF7824D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468313</xdr:colOff>
      <xdr:row>2</xdr:row>
      <xdr:rowOff>103188</xdr:rowOff>
    </xdr:from>
    <xdr:to>
      <xdr:col>38</xdr:col>
      <xdr:colOff>7937</xdr:colOff>
      <xdr:row>13</xdr:row>
      <xdr:rowOff>174625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1AA1EC-23C9-4783-8FD8-9D81922C2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404602</xdr:colOff>
      <xdr:row>17</xdr:row>
      <xdr:rowOff>112389</xdr:rowOff>
    </xdr:from>
    <xdr:to>
      <xdr:col>23</xdr:col>
      <xdr:colOff>196975</xdr:colOff>
      <xdr:row>18</xdr:row>
      <xdr:rowOff>144507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D4EA2632-B30D-AE5C-176E-143236FDA92F}"/>
            </a:ext>
          </a:extLst>
        </xdr:cNvPr>
        <xdr:cNvGrpSpPr/>
      </xdr:nvGrpSpPr>
      <xdr:grpSpPr>
        <a:xfrm>
          <a:off x="18044687" y="3556457"/>
          <a:ext cx="405847" cy="215084"/>
          <a:chOff x="10373540" y="3585221"/>
          <a:chExt cx="399276" cy="217560"/>
        </a:xfrm>
      </xdr:grpSpPr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1FA0325C-3E6F-94F8-F410-F7948BA270D6}"/>
              </a:ext>
            </a:extLst>
          </xdr:cNvPr>
          <xdr:cNvCxnSpPr/>
        </xdr:nvCxnSpPr>
        <xdr:spPr>
          <a:xfrm>
            <a:off x="10407257" y="3596460"/>
            <a:ext cx="5619" cy="168584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E2608611-D1E2-437F-BC25-0E083E6EAD94}"/>
              </a:ext>
            </a:extLst>
          </xdr:cNvPr>
          <xdr:cNvSpPr txBox="1"/>
        </xdr:nvSpPr>
        <xdr:spPr>
          <a:xfrm>
            <a:off x="10373540" y="3585221"/>
            <a:ext cx="399276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800" b="1"/>
              <a:t>Error</a:t>
            </a:r>
          </a:p>
        </xdr:txBody>
      </xdr:sp>
    </xdr:grpSp>
    <xdr:clientData/>
  </xdr:twoCellAnchor>
  <xdr:twoCellAnchor>
    <xdr:from>
      <xdr:col>21</xdr:col>
      <xdr:colOff>241637</xdr:colOff>
      <xdr:row>5</xdr:row>
      <xdr:rowOff>151725</xdr:rowOff>
    </xdr:from>
    <xdr:to>
      <xdr:col>22</xdr:col>
      <xdr:colOff>34010</xdr:colOff>
      <xdr:row>6</xdr:row>
      <xdr:rowOff>183843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6498EEAA-14CD-4847-AB01-F5B8DDD384A7}"/>
            </a:ext>
          </a:extLst>
        </xdr:cNvPr>
        <xdr:cNvGrpSpPr/>
      </xdr:nvGrpSpPr>
      <xdr:grpSpPr>
        <a:xfrm>
          <a:off x="17268247" y="1195708"/>
          <a:ext cx="405848" cy="215084"/>
          <a:chOff x="10373540" y="3585221"/>
          <a:chExt cx="399276" cy="217560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E672CB14-807D-471E-0D1B-F48E7CC9A4EE}"/>
              </a:ext>
            </a:extLst>
          </xdr:cNvPr>
          <xdr:cNvCxnSpPr/>
        </xdr:nvCxnSpPr>
        <xdr:spPr>
          <a:xfrm>
            <a:off x="10407257" y="3596460"/>
            <a:ext cx="5619" cy="168584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4CC9774-E6CB-6167-B7F6-AE3226BFEAF0}"/>
              </a:ext>
            </a:extLst>
          </xdr:cNvPr>
          <xdr:cNvSpPr txBox="1"/>
        </xdr:nvSpPr>
        <xdr:spPr>
          <a:xfrm>
            <a:off x="10373540" y="3585221"/>
            <a:ext cx="399276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800" b="1"/>
              <a:t>Error</a:t>
            </a:r>
          </a:p>
        </xdr:txBody>
      </xdr:sp>
    </xdr:grpSp>
    <xdr:clientData/>
  </xdr:twoCellAnchor>
  <xdr:twoCellAnchor>
    <xdr:from>
      <xdr:col>29</xdr:col>
      <xdr:colOff>22477</xdr:colOff>
      <xdr:row>5</xdr:row>
      <xdr:rowOff>101150</xdr:rowOff>
    </xdr:from>
    <xdr:to>
      <xdr:col>29</xdr:col>
      <xdr:colOff>421753</xdr:colOff>
      <xdr:row>6</xdr:row>
      <xdr:rowOff>133268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22378CB-9580-45EB-B290-014780507851}"/>
            </a:ext>
          </a:extLst>
        </xdr:cNvPr>
        <xdr:cNvGrpSpPr/>
      </xdr:nvGrpSpPr>
      <xdr:grpSpPr>
        <a:xfrm>
          <a:off x="21956884" y="1145133"/>
          <a:ext cx="399276" cy="215084"/>
          <a:chOff x="10373540" y="3585221"/>
          <a:chExt cx="399276" cy="217560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66DC90F0-88C1-DA39-7116-7A39DB139A3E}"/>
              </a:ext>
            </a:extLst>
          </xdr:cNvPr>
          <xdr:cNvCxnSpPr/>
        </xdr:nvCxnSpPr>
        <xdr:spPr>
          <a:xfrm>
            <a:off x="10407257" y="3596460"/>
            <a:ext cx="5619" cy="168584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BBCB180A-3C99-469F-2FBB-6761015C97DB}"/>
              </a:ext>
            </a:extLst>
          </xdr:cNvPr>
          <xdr:cNvSpPr txBox="1"/>
        </xdr:nvSpPr>
        <xdr:spPr>
          <a:xfrm>
            <a:off x="10373540" y="3585221"/>
            <a:ext cx="399276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800" b="1"/>
              <a:t>Error</a:t>
            </a:r>
          </a:p>
        </xdr:txBody>
      </xdr:sp>
    </xdr:grpSp>
    <xdr:clientData/>
  </xdr:twoCellAnchor>
  <xdr:twoCellAnchor>
    <xdr:from>
      <xdr:col>28</xdr:col>
      <xdr:colOff>590045</xdr:colOff>
      <xdr:row>18</xdr:row>
      <xdr:rowOff>22478</xdr:rowOff>
    </xdr:from>
    <xdr:to>
      <xdr:col>29</xdr:col>
      <xdr:colOff>382418</xdr:colOff>
      <xdr:row>19</xdr:row>
      <xdr:rowOff>54595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328010BB-7BE9-49ED-A863-104A4F074F38}"/>
            </a:ext>
          </a:extLst>
        </xdr:cNvPr>
        <xdr:cNvGrpSpPr/>
      </xdr:nvGrpSpPr>
      <xdr:grpSpPr>
        <a:xfrm>
          <a:off x="21910977" y="3649512"/>
          <a:ext cx="405848" cy="215083"/>
          <a:chOff x="10373540" y="3585221"/>
          <a:chExt cx="399276" cy="217560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D900FD63-D4FC-51A0-4750-7C510DB0E727}"/>
              </a:ext>
            </a:extLst>
          </xdr:cNvPr>
          <xdr:cNvCxnSpPr/>
        </xdr:nvCxnSpPr>
        <xdr:spPr>
          <a:xfrm>
            <a:off x="10407257" y="3596460"/>
            <a:ext cx="5619" cy="168584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B7AEE8B9-2A2F-F15B-947A-15D07B964869}"/>
              </a:ext>
            </a:extLst>
          </xdr:cNvPr>
          <xdr:cNvSpPr txBox="1"/>
        </xdr:nvSpPr>
        <xdr:spPr>
          <a:xfrm>
            <a:off x="10373540" y="3585221"/>
            <a:ext cx="399276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800" b="1"/>
              <a:t>Error</a:t>
            </a:r>
          </a:p>
        </xdr:txBody>
      </xdr:sp>
    </xdr:grpSp>
    <xdr:clientData/>
  </xdr:twoCellAnchor>
  <xdr:twoCellAnchor>
    <xdr:from>
      <xdr:col>33</xdr:col>
      <xdr:colOff>349082</xdr:colOff>
      <xdr:row>6</xdr:row>
      <xdr:rowOff>79347</xdr:rowOff>
    </xdr:from>
    <xdr:to>
      <xdr:col>34</xdr:col>
      <xdr:colOff>141455</xdr:colOff>
      <xdr:row>7</xdr:row>
      <xdr:rowOff>111464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65D18EA9-F95A-4E53-A87B-900380A6AB92}"/>
            </a:ext>
          </a:extLst>
        </xdr:cNvPr>
        <xdr:cNvGrpSpPr/>
      </xdr:nvGrpSpPr>
      <xdr:grpSpPr>
        <a:xfrm>
          <a:off x="24737387" y="1306296"/>
          <a:ext cx="405848" cy="215083"/>
          <a:chOff x="10373540" y="3585221"/>
          <a:chExt cx="399276" cy="217560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1BAED002-198C-C758-34DB-129A35589252}"/>
              </a:ext>
            </a:extLst>
          </xdr:cNvPr>
          <xdr:cNvCxnSpPr/>
        </xdr:nvCxnSpPr>
        <xdr:spPr>
          <a:xfrm>
            <a:off x="10407257" y="3596460"/>
            <a:ext cx="5619" cy="168584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B154A050-73BC-137E-482C-ADB503AB5FE5}"/>
              </a:ext>
            </a:extLst>
          </xdr:cNvPr>
          <xdr:cNvSpPr txBox="1"/>
        </xdr:nvSpPr>
        <xdr:spPr>
          <a:xfrm>
            <a:off x="10373540" y="3585221"/>
            <a:ext cx="399276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800" b="1"/>
              <a:t>Error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3810</xdr:rowOff>
    </xdr:from>
    <xdr:to>
      <xdr:col>21</xdr:col>
      <xdr:colOff>594360</xdr:colOff>
      <xdr:row>26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3810</xdr:rowOff>
    </xdr:from>
    <xdr:to>
      <xdr:col>21</xdr:col>
      <xdr:colOff>601980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4</xdr:row>
      <xdr:rowOff>11430</xdr:rowOff>
    </xdr:from>
    <xdr:to>
      <xdr:col>21</xdr:col>
      <xdr:colOff>601980</xdr:colOff>
      <xdr:row>27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4</xdr:row>
      <xdr:rowOff>11430</xdr:rowOff>
    </xdr:from>
    <xdr:to>
      <xdr:col>21</xdr:col>
      <xdr:colOff>601980</xdr:colOff>
      <xdr:row>26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</xdr:row>
      <xdr:rowOff>120650</xdr:rowOff>
    </xdr:from>
    <xdr:to>
      <xdr:col>21</xdr:col>
      <xdr:colOff>601980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060909\Documents\Task\CardStock%20Forecast\Copy%20of%20TEMPLATE_PEMESANAN_KARTU_NAMA_Rev2023%20Tes.xlsx" TargetMode="External"/><Relationship Id="rId1" Type="http://schemas.openxmlformats.org/officeDocument/2006/relationships/externalLinkPath" Target="Copy%20of%20TEMPLATE_PEMESANAN_KARTU_NAMA_Rev2023%20T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060909\Downloads\Holt-Winters.xlsx" TargetMode="External"/><Relationship Id="rId1" Type="http://schemas.openxmlformats.org/officeDocument/2006/relationships/externalLinkPath" Target="/Users/22060909/Downloads/Holt-Win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Holt-Winters"/>
      <sheetName val="Holt-Winters 1"/>
      <sheetName val="Holt-Winters 2"/>
      <sheetName val="Holt-Winters 3"/>
      <sheetName val="Holt-Winters 4"/>
      <sheetName val="Holt-Winters 4a"/>
      <sheetName val="Holt-Winters 4a (2)"/>
      <sheetName val="Holt-Winters 5 18"/>
      <sheetName val="Holt-Winters 5 22"/>
      <sheetName val="Holt-Winters 5_notleak-1"/>
      <sheetName val="Holt-Winters 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E4">
            <v>43131</v>
          </cell>
          <cell r="F4">
            <v>34890</v>
          </cell>
        </row>
        <row r="5">
          <cell r="E5">
            <v>43159</v>
          </cell>
          <cell r="F5">
            <v>25830</v>
          </cell>
        </row>
        <row r="6">
          <cell r="E6">
            <v>43190</v>
          </cell>
          <cell r="F6">
            <v>41054</v>
          </cell>
        </row>
        <row r="7">
          <cell r="E7">
            <v>43220</v>
          </cell>
          <cell r="F7">
            <v>36838</v>
          </cell>
        </row>
        <row r="8">
          <cell r="E8">
            <v>43251</v>
          </cell>
          <cell r="F8">
            <v>56808</v>
          </cell>
        </row>
        <row r="9">
          <cell r="E9">
            <v>43281</v>
          </cell>
          <cell r="F9">
            <v>34939</v>
          </cell>
        </row>
        <row r="10">
          <cell r="E10">
            <v>43312</v>
          </cell>
          <cell r="F10">
            <v>41853</v>
          </cell>
        </row>
        <row r="11">
          <cell r="E11">
            <v>43343</v>
          </cell>
          <cell r="F11">
            <v>58036</v>
          </cell>
        </row>
        <row r="12">
          <cell r="E12">
            <v>43373</v>
          </cell>
          <cell r="F12">
            <v>42879</v>
          </cell>
        </row>
        <row r="13">
          <cell r="E13">
            <v>43404</v>
          </cell>
          <cell r="F13">
            <v>54081</v>
          </cell>
        </row>
        <row r="14">
          <cell r="E14">
            <v>43434</v>
          </cell>
          <cell r="F14">
            <v>31764</v>
          </cell>
        </row>
        <row r="15">
          <cell r="E15">
            <v>43465</v>
          </cell>
          <cell r="F15">
            <v>45101</v>
          </cell>
        </row>
        <row r="16">
          <cell r="E16">
            <v>43496</v>
          </cell>
          <cell r="F16">
            <v>61974</v>
          </cell>
          <cell r="J16">
            <v>38134.317395496291</v>
          </cell>
        </row>
        <row r="17">
          <cell r="E17">
            <v>43524</v>
          </cell>
          <cell r="F17">
            <v>37927</v>
          </cell>
          <cell r="J17">
            <v>30855.884509468968</v>
          </cell>
        </row>
        <row r="18">
          <cell r="E18">
            <v>43555</v>
          </cell>
          <cell r="F18">
            <v>59679</v>
          </cell>
          <cell r="J18">
            <v>53029.802270315537</v>
          </cell>
        </row>
        <row r="19">
          <cell r="E19">
            <v>43585</v>
          </cell>
          <cell r="F19">
            <v>56163</v>
          </cell>
          <cell r="J19">
            <v>51120.634237536971</v>
          </cell>
        </row>
        <row r="20">
          <cell r="E20">
            <v>43616</v>
          </cell>
          <cell r="F20">
            <v>118501</v>
          </cell>
          <cell r="J20">
            <v>84278.702247803827</v>
          </cell>
        </row>
        <row r="21">
          <cell r="E21">
            <v>43646</v>
          </cell>
          <cell r="F21">
            <v>78698</v>
          </cell>
          <cell r="J21">
            <v>55393.267141600729</v>
          </cell>
        </row>
        <row r="22">
          <cell r="E22">
            <v>43677</v>
          </cell>
          <cell r="F22">
            <v>109530</v>
          </cell>
          <cell r="J22">
            <v>70677.79093328974</v>
          </cell>
        </row>
        <row r="23">
          <cell r="E23">
            <v>43708</v>
          </cell>
          <cell r="F23">
            <v>116775</v>
          </cell>
          <cell r="J23">
            <v>104231.18112034435</v>
          </cell>
        </row>
        <row r="24">
          <cell r="E24">
            <v>43738</v>
          </cell>
          <cell r="F24">
            <v>115435</v>
          </cell>
          <cell r="J24">
            <v>81265.13789775304</v>
          </cell>
        </row>
        <row r="25">
          <cell r="E25">
            <v>43769</v>
          </cell>
          <cell r="F25">
            <v>100006</v>
          </cell>
          <cell r="J25">
            <v>108270.02780107241</v>
          </cell>
        </row>
        <row r="26">
          <cell r="E26">
            <v>43799</v>
          </cell>
          <cell r="F26">
            <v>105375</v>
          </cell>
          <cell r="J26">
            <v>66629.313506766572</v>
          </cell>
        </row>
        <row r="27">
          <cell r="E27">
            <v>43830</v>
          </cell>
          <cell r="F27">
            <v>106477</v>
          </cell>
          <cell r="J27">
            <v>99691.120363790134</v>
          </cell>
        </row>
        <row r="28">
          <cell r="E28">
            <v>43861</v>
          </cell>
          <cell r="F28">
            <v>82087</v>
          </cell>
          <cell r="J28">
            <v>111559.11360487342</v>
          </cell>
        </row>
        <row r="29">
          <cell r="E29">
            <v>43890</v>
          </cell>
          <cell r="F29">
            <v>90055</v>
          </cell>
          <cell r="J29">
            <v>70810.358965902895</v>
          </cell>
        </row>
        <row r="30">
          <cell r="E30">
            <v>43921</v>
          </cell>
          <cell r="F30">
            <v>77921</v>
          </cell>
          <cell r="J30">
            <v>110952.11793269304</v>
          </cell>
        </row>
        <row r="31">
          <cell r="E31">
            <v>43951</v>
          </cell>
          <cell r="F31">
            <v>31224</v>
          </cell>
          <cell r="J31">
            <v>101530.07090548491</v>
          </cell>
        </row>
        <row r="32">
          <cell r="E32">
            <v>43982</v>
          </cell>
          <cell r="F32">
            <v>23641</v>
          </cell>
          <cell r="J32">
            <v>189805.29929039863</v>
          </cell>
        </row>
        <row r="33">
          <cell r="E33">
            <v>44012</v>
          </cell>
          <cell r="F33">
            <v>36735</v>
          </cell>
          <cell r="J33">
            <v>120512.24866004483</v>
          </cell>
        </row>
        <row r="34">
          <cell r="E34">
            <v>44043</v>
          </cell>
          <cell r="F34">
            <v>44506</v>
          </cell>
          <cell r="J34">
            <v>157313.24737794828</v>
          </cell>
        </row>
        <row r="35">
          <cell r="E35">
            <v>44074</v>
          </cell>
          <cell r="F35">
            <v>55883</v>
          </cell>
          <cell r="J35">
            <v>179343.61756933742</v>
          </cell>
        </row>
        <row r="36">
          <cell r="E36">
            <v>44104</v>
          </cell>
          <cell r="F36">
            <v>68914</v>
          </cell>
          <cell r="J36">
            <v>158745.80954257061</v>
          </cell>
        </row>
        <row r="37">
          <cell r="E37">
            <v>44135</v>
          </cell>
          <cell r="F37">
            <v>47439</v>
          </cell>
          <cell r="J37">
            <v>155010.10227039238</v>
          </cell>
        </row>
        <row r="38">
          <cell r="E38">
            <v>44165</v>
          </cell>
          <cell r="F38">
            <v>75926</v>
          </cell>
          <cell r="J38">
            <v>132248.72846244488</v>
          </cell>
        </row>
        <row r="39">
          <cell r="E39">
            <v>44196</v>
          </cell>
          <cell r="F39">
            <v>67387</v>
          </cell>
          <cell r="J39">
            <v>147365.25640095412</v>
          </cell>
        </row>
        <row r="40">
          <cell r="E40">
            <v>44227</v>
          </cell>
          <cell r="F40">
            <v>60442</v>
          </cell>
          <cell r="J40">
            <v>129048.75427000666</v>
          </cell>
        </row>
        <row r="41">
          <cell r="E41">
            <v>44255</v>
          </cell>
          <cell r="F41">
            <v>63811</v>
          </cell>
          <cell r="J41">
            <v>112066.63931054974</v>
          </cell>
        </row>
        <row r="42">
          <cell r="E42">
            <v>44286</v>
          </cell>
          <cell r="F42">
            <v>55821</v>
          </cell>
          <cell r="J42">
            <v>119654.13682112245</v>
          </cell>
        </row>
        <row r="43">
          <cell r="E43">
            <v>44316</v>
          </cell>
          <cell r="F43">
            <v>33014</v>
          </cell>
          <cell r="J43">
            <v>74952.506647223825</v>
          </cell>
        </row>
        <row r="44">
          <cell r="E44">
            <v>44347</v>
          </cell>
          <cell r="F44">
            <v>11690</v>
          </cell>
          <cell r="J44">
            <v>110260.42812775272</v>
          </cell>
        </row>
        <row r="45">
          <cell r="E45">
            <v>44377</v>
          </cell>
          <cell r="F45">
            <v>9100</v>
          </cell>
          <cell r="J45">
            <v>86277.770191995165</v>
          </cell>
        </row>
        <row r="46">
          <cell r="E46">
            <v>44408</v>
          </cell>
          <cell r="F46">
            <v>8510</v>
          </cell>
          <cell r="J46">
            <v>108143.29147748652</v>
          </cell>
        </row>
        <row r="47">
          <cell r="E47">
            <v>44439</v>
          </cell>
          <cell r="F47">
            <v>10133</v>
          </cell>
          <cell r="J47">
            <v>125326.7890043073</v>
          </cell>
        </row>
        <row r="48">
          <cell r="E48">
            <v>44469</v>
          </cell>
          <cell r="F48">
            <v>10459</v>
          </cell>
          <cell r="J48">
            <v>123906.50336151007</v>
          </cell>
        </row>
        <row r="49">
          <cell r="E49">
            <v>44500</v>
          </cell>
          <cell r="F49">
            <v>14893</v>
          </cell>
          <cell r="J49">
            <v>104226.64940268721</v>
          </cell>
        </row>
        <row r="50">
          <cell r="E50">
            <v>44530</v>
          </cell>
          <cell r="F50">
            <v>20774</v>
          </cell>
          <cell r="J50">
            <v>113582.90079263733</v>
          </cell>
        </row>
        <row r="51">
          <cell r="E51">
            <v>44561</v>
          </cell>
          <cell r="F51">
            <v>32567</v>
          </cell>
          <cell r="J51">
            <v>112096.17145990755</v>
          </cell>
        </row>
        <row r="52">
          <cell r="E52">
            <v>44592</v>
          </cell>
          <cell r="F52">
            <v>59844</v>
          </cell>
          <cell r="J52">
            <v>97817.671902884438</v>
          </cell>
        </row>
        <row r="53">
          <cell r="E53">
            <v>44620</v>
          </cell>
          <cell r="F53">
            <v>21730</v>
          </cell>
          <cell r="J53">
            <v>92049.453427575878</v>
          </cell>
        </row>
        <row r="54">
          <cell r="E54">
            <v>44651</v>
          </cell>
          <cell r="F54">
            <v>32597</v>
          </cell>
          <cell r="J54">
            <v>88292.024572745708</v>
          </cell>
        </row>
        <row r="55">
          <cell r="E55">
            <v>44681</v>
          </cell>
          <cell r="F55">
            <v>25446</v>
          </cell>
          <cell r="J55">
            <v>53296.382158396053</v>
          </cell>
        </row>
        <row r="56">
          <cell r="E56">
            <v>44712</v>
          </cell>
          <cell r="F56">
            <v>49191</v>
          </cell>
          <cell r="J56">
            <v>52568.673471522903</v>
          </cell>
        </row>
        <row r="57">
          <cell r="E57">
            <v>44742</v>
          </cell>
          <cell r="F57">
            <v>32408</v>
          </cell>
          <cell r="J57">
            <v>41092.677059351823</v>
          </cell>
        </row>
        <row r="58">
          <cell r="E58">
            <v>44773</v>
          </cell>
          <cell r="F58">
            <v>28554</v>
          </cell>
          <cell r="J58">
            <v>49478.526405399469</v>
          </cell>
        </row>
        <row r="59">
          <cell r="E59">
            <v>44804</v>
          </cell>
          <cell r="F59">
            <v>44473</v>
          </cell>
          <cell r="J59">
            <v>57372.941435851317</v>
          </cell>
        </row>
        <row r="60">
          <cell r="E60">
            <v>44834</v>
          </cell>
          <cell r="F60">
            <v>42148</v>
          </cell>
          <cell r="J60">
            <v>57045.103856963688</v>
          </cell>
        </row>
        <row r="61">
          <cell r="E61">
            <v>44865</v>
          </cell>
          <cell r="F61">
            <v>40341</v>
          </cell>
          <cell r="J61">
            <v>52155.365679707262</v>
          </cell>
        </row>
        <row r="62">
          <cell r="E62">
            <v>44895</v>
          </cell>
          <cell r="F62">
            <v>41282</v>
          </cell>
          <cell r="J62">
            <v>59982.984891914566</v>
          </cell>
        </row>
        <row r="63">
          <cell r="E63">
            <v>44926</v>
          </cell>
          <cell r="F63">
            <v>40045</v>
          </cell>
          <cell r="J63">
            <v>67386.455529596366</v>
          </cell>
        </row>
        <row r="64">
          <cell r="E64">
            <v>44957</v>
          </cell>
          <cell r="F64">
            <v>30805</v>
          </cell>
          <cell r="J64">
            <v>79855.086421937696</v>
          </cell>
        </row>
        <row r="65">
          <cell r="E65">
            <v>44985</v>
          </cell>
          <cell r="F65">
            <v>36904</v>
          </cell>
          <cell r="J65">
            <v>51425.631170927853</v>
          </cell>
        </row>
        <row r="66">
          <cell r="E66">
            <v>45016</v>
          </cell>
          <cell r="F66">
            <v>47258</v>
          </cell>
          <cell r="J66">
            <v>57240.274626116974</v>
          </cell>
        </row>
        <row r="67">
          <cell r="E67">
            <v>45046</v>
          </cell>
          <cell r="F67">
            <v>33977</v>
          </cell>
          <cell r="J67">
            <v>38442.079014453222</v>
          </cell>
        </row>
        <row r="68">
          <cell r="E68">
            <v>45077</v>
          </cell>
          <cell r="F68">
            <v>51732</v>
          </cell>
          <cell r="J68">
            <v>53972.612538188136</v>
          </cell>
        </row>
        <row r="69">
          <cell r="E69">
            <v>45107</v>
          </cell>
          <cell r="F69">
            <v>42493</v>
          </cell>
          <cell r="J69">
            <v>38042.354016393787</v>
          </cell>
        </row>
        <row r="70">
          <cell r="E70">
            <v>45138</v>
          </cell>
          <cell r="F70">
            <v>33368</v>
          </cell>
          <cell r="J70">
            <v>38871.265580619947</v>
          </cell>
        </row>
        <row r="71">
          <cell r="E71">
            <v>45169</v>
          </cell>
          <cell r="F71">
            <v>52612</v>
          </cell>
          <cell r="J71">
            <v>52611.997327705656</v>
          </cell>
        </row>
        <row r="72">
          <cell r="E72">
            <v>45199</v>
          </cell>
          <cell r="F72">
            <v>52467</v>
          </cell>
          <cell r="J72">
            <v>50918.659832553589</v>
          </cell>
        </row>
        <row r="73">
          <cell r="E73">
            <v>45230</v>
          </cell>
          <cell r="F73">
            <v>42235</v>
          </cell>
          <cell r="J73">
            <v>47781.44246243938</v>
          </cell>
        </row>
        <row r="74">
          <cell r="E74">
            <v>45260</v>
          </cell>
          <cell r="F74">
            <v>59404</v>
          </cell>
          <cell r="J74">
            <v>51496.959101721848</v>
          </cell>
        </row>
        <row r="75">
          <cell r="E75">
            <v>45291</v>
          </cell>
          <cell r="F75">
            <v>52434</v>
          </cell>
          <cell r="J75">
            <v>53829.261963425859</v>
          </cell>
        </row>
        <row r="76">
          <cell r="E76">
            <v>45322</v>
          </cell>
          <cell r="F76">
            <v>52855</v>
          </cell>
          <cell r="J76">
            <v>52811.2534588786</v>
          </cell>
        </row>
        <row r="77">
          <cell r="E77">
            <v>45351</v>
          </cell>
          <cell r="F77">
            <v>45697</v>
          </cell>
          <cell r="J77">
            <v>45696.105179299688</v>
          </cell>
        </row>
        <row r="78">
          <cell r="E78">
            <v>45382</v>
          </cell>
          <cell r="F78">
            <v>42815</v>
          </cell>
          <cell r="J78">
            <v>55133.951530274775</v>
          </cell>
        </row>
        <row r="79">
          <cell r="E79">
            <v>45412</v>
          </cell>
          <cell r="F79">
            <v>35800</v>
          </cell>
          <cell r="J79">
            <v>38471.092341541516</v>
          </cell>
        </row>
      </sheetData>
      <sheetData sheetId="8">
        <row r="4">
          <cell r="E4">
            <v>43131</v>
          </cell>
          <cell r="F4">
            <v>34890</v>
          </cell>
        </row>
        <row r="5">
          <cell r="E5">
            <v>43159</v>
          </cell>
          <cell r="F5">
            <v>25830</v>
          </cell>
        </row>
        <row r="6">
          <cell r="E6">
            <v>43190</v>
          </cell>
          <cell r="F6">
            <v>41054</v>
          </cell>
        </row>
        <row r="7">
          <cell r="E7">
            <v>43220</v>
          </cell>
          <cell r="F7">
            <v>36838</v>
          </cell>
        </row>
        <row r="8">
          <cell r="E8">
            <v>43251</v>
          </cell>
          <cell r="F8">
            <v>56808</v>
          </cell>
        </row>
        <row r="9">
          <cell r="E9">
            <v>43281</v>
          </cell>
          <cell r="F9">
            <v>34939</v>
          </cell>
        </row>
        <row r="10">
          <cell r="E10">
            <v>43312</v>
          </cell>
          <cell r="F10">
            <v>41853</v>
          </cell>
        </row>
        <row r="11">
          <cell r="E11">
            <v>43343</v>
          </cell>
          <cell r="F11">
            <v>58036</v>
          </cell>
        </row>
        <row r="12">
          <cell r="E12">
            <v>43373</v>
          </cell>
          <cell r="F12">
            <v>42879</v>
          </cell>
        </row>
        <row r="13">
          <cell r="E13">
            <v>43404</v>
          </cell>
          <cell r="F13">
            <v>54081</v>
          </cell>
        </row>
        <row r="14">
          <cell r="E14">
            <v>43434</v>
          </cell>
          <cell r="F14">
            <v>31764</v>
          </cell>
        </row>
        <row r="15">
          <cell r="E15">
            <v>43465</v>
          </cell>
          <cell r="F15">
            <v>45101</v>
          </cell>
        </row>
        <row r="16">
          <cell r="E16">
            <v>43496</v>
          </cell>
          <cell r="F16">
            <v>61974</v>
          </cell>
          <cell r="J16">
            <v>38796.020833333336</v>
          </cell>
        </row>
        <row r="17">
          <cell r="E17">
            <v>43524</v>
          </cell>
          <cell r="F17">
            <v>37927</v>
          </cell>
          <cell r="J17">
            <v>34722.121297787155</v>
          </cell>
        </row>
        <row r="18">
          <cell r="E18">
            <v>43555</v>
          </cell>
          <cell r="F18">
            <v>59679</v>
          </cell>
          <cell r="J18">
            <v>54235.49410811808</v>
          </cell>
        </row>
        <row r="19">
          <cell r="E19">
            <v>43585</v>
          </cell>
          <cell r="F19">
            <v>56163</v>
          </cell>
          <cell r="J19">
            <v>54445.542266696386</v>
          </cell>
        </row>
        <row r="20">
          <cell r="E20">
            <v>43616</v>
          </cell>
          <cell r="F20">
            <v>118501</v>
          </cell>
          <cell r="J20">
            <v>78722.916901801786</v>
          </cell>
        </row>
        <row r="21">
          <cell r="E21">
            <v>43646</v>
          </cell>
          <cell r="F21">
            <v>78698</v>
          </cell>
          <cell r="J21">
            <v>62952.23294461464</v>
          </cell>
        </row>
        <row r="22">
          <cell r="E22">
            <v>43677</v>
          </cell>
          <cell r="F22">
            <v>109530</v>
          </cell>
          <cell r="J22">
            <v>75246.260251475411</v>
          </cell>
        </row>
        <row r="23">
          <cell r="E23">
            <v>43708</v>
          </cell>
          <cell r="F23">
            <v>116775</v>
          </cell>
          <cell r="J23">
            <v>97832.116159368947</v>
          </cell>
        </row>
        <row r="24">
          <cell r="E24">
            <v>43738</v>
          </cell>
          <cell r="F24">
            <v>115435</v>
          </cell>
          <cell r="J24">
            <v>88709.22875250192</v>
          </cell>
        </row>
        <row r="25">
          <cell r="E25">
            <v>43769</v>
          </cell>
          <cell r="F25">
            <v>100006</v>
          </cell>
          <cell r="J25">
            <v>106499.26788815699</v>
          </cell>
        </row>
        <row r="26">
          <cell r="E26">
            <v>43799</v>
          </cell>
          <cell r="F26">
            <v>105375</v>
          </cell>
          <cell r="J26">
            <v>89492.145512985066</v>
          </cell>
        </row>
        <row r="27">
          <cell r="E27">
            <v>43830</v>
          </cell>
          <cell r="F27">
            <v>106477</v>
          </cell>
          <cell r="J27">
            <v>109116.18022058514</v>
          </cell>
        </row>
        <row r="28">
          <cell r="E28">
            <v>43861</v>
          </cell>
          <cell r="F28">
            <v>82087</v>
          </cell>
          <cell r="J28">
            <v>124710.86356625997</v>
          </cell>
        </row>
        <row r="29">
          <cell r="E29">
            <v>43890</v>
          </cell>
          <cell r="F29">
            <v>90055</v>
          </cell>
          <cell r="J29">
            <v>101919.88677221129</v>
          </cell>
        </row>
        <row r="30">
          <cell r="E30">
            <v>43921</v>
          </cell>
          <cell r="F30">
            <v>77921</v>
          </cell>
          <cell r="J30">
            <v>123794.338377751</v>
          </cell>
        </row>
        <row r="31">
          <cell r="E31">
            <v>43951</v>
          </cell>
          <cell r="F31">
            <v>31224</v>
          </cell>
          <cell r="J31">
            <v>119320.40336344996</v>
          </cell>
        </row>
        <row r="32">
          <cell r="E32">
            <v>43982</v>
          </cell>
          <cell r="F32">
            <v>23641</v>
          </cell>
          <cell r="J32">
            <v>173058.14853822655</v>
          </cell>
        </row>
        <row r="33">
          <cell r="E33">
            <v>44012</v>
          </cell>
          <cell r="F33">
            <v>36735</v>
          </cell>
          <cell r="J33">
            <v>127037.55479986602</v>
          </cell>
        </row>
        <row r="34">
          <cell r="E34">
            <v>44043</v>
          </cell>
          <cell r="F34">
            <v>44506</v>
          </cell>
          <cell r="J34">
            <v>148186.18581429854</v>
          </cell>
        </row>
        <row r="35">
          <cell r="E35">
            <v>44074</v>
          </cell>
          <cell r="F35">
            <v>55883</v>
          </cell>
          <cell r="J35">
            <v>147511.46119861692</v>
          </cell>
        </row>
        <row r="36">
          <cell r="E36">
            <v>44104</v>
          </cell>
          <cell r="F36">
            <v>68914</v>
          </cell>
          <cell r="J36">
            <v>135185.6688171085</v>
          </cell>
        </row>
        <row r="37">
          <cell r="E37">
            <v>44135</v>
          </cell>
          <cell r="F37">
            <v>47439</v>
          </cell>
          <cell r="J37">
            <v>113703.65504502013</v>
          </cell>
        </row>
        <row r="38">
          <cell r="E38">
            <v>44165</v>
          </cell>
          <cell r="F38">
            <v>75926</v>
          </cell>
          <cell r="J38">
            <v>106537.35950713849</v>
          </cell>
        </row>
        <row r="39">
          <cell r="E39">
            <v>44196</v>
          </cell>
          <cell r="F39">
            <v>67387</v>
          </cell>
          <cell r="J39">
            <v>100336.2608700104</v>
          </cell>
        </row>
        <row r="40">
          <cell r="E40">
            <v>44227</v>
          </cell>
          <cell r="F40">
            <v>60442</v>
          </cell>
          <cell r="J40">
            <v>71665.686875687476</v>
          </cell>
        </row>
        <row r="41">
          <cell r="E41">
            <v>44255</v>
          </cell>
          <cell r="F41">
            <v>63811</v>
          </cell>
          <cell r="J41">
            <v>68898.74014510859</v>
          </cell>
        </row>
        <row r="42">
          <cell r="E42">
            <v>44286</v>
          </cell>
          <cell r="F42">
            <v>55821</v>
          </cell>
          <cell r="J42">
            <v>53461.089271590768</v>
          </cell>
        </row>
        <row r="43">
          <cell r="E43">
            <v>44316</v>
          </cell>
          <cell r="F43">
            <v>33014</v>
          </cell>
          <cell r="J43">
            <v>6508.5412540983816</v>
          </cell>
        </row>
        <row r="44">
          <cell r="E44">
            <v>44347</v>
          </cell>
          <cell r="F44">
            <v>11690</v>
          </cell>
          <cell r="J44">
            <v>4685.7853680314147</v>
          </cell>
        </row>
        <row r="45">
          <cell r="E45">
            <v>44377</v>
          </cell>
          <cell r="F45">
            <v>9100</v>
          </cell>
          <cell r="J45">
            <v>11283.159763728152</v>
          </cell>
        </row>
        <row r="46">
          <cell r="E46">
            <v>44408</v>
          </cell>
          <cell r="F46">
            <v>8510</v>
          </cell>
          <cell r="J46">
            <v>20201.011934475457</v>
          </cell>
        </row>
        <row r="47">
          <cell r="E47">
            <v>44439</v>
          </cell>
          <cell r="F47">
            <v>10133</v>
          </cell>
          <cell r="J47">
            <v>30551.099558814647</v>
          </cell>
        </row>
        <row r="48">
          <cell r="E48">
            <v>44469</v>
          </cell>
          <cell r="F48">
            <v>10459</v>
          </cell>
          <cell r="J48">
            <v>40818.45006747391</v>
          </cell>
        </row>
        <row r="49">
          <cell r="E49">
            <v>44500</v>
          </cell>
          <cell r="F49">
            <v>14893</v>
          </cell>
          <cell r="J49">
            <v>18887.476824173995</v>
          </cell>
        </row>
        <row r="50">
          <cell r="E50">
            <v>44530</v>
          </cell>
          <cell r="F50">
            <v>20774</v>
          </cell>
          <cell r="J50">
            <v>43962.32181054735</v>
          </cell>
        </row>
        <row r="51">
          <cell r="E51">
            <v>44561</v>
          </cell>
          <cell r="F51">
            <v>32567</v>
          </cell>
          <cell r="J51">
            <v>34930.14293602058</v>
          </cell>
        </row>
        <row r="52">
          <cell r="E52">
            <v>44592</v>
          </cell>
          <cell r="F52">
            <v>59844</v>
          </cell>
          <cell r="J52">
            <v>25576.77003952019</v>
          </cell>
        </row>
        <row r="53">
          <cell r="E53">
            <v>44620</v>
          </cell>
          <cell r="F53">
            <v>21730</v>
          </cell>
          <cell r="J53">
            <v>29529.355131025899</v>
          </cell>
        </row>
        <row r="54">
          <cell r="E54">
            <v>44651</v>
          </cell>
          <cell r="F54">
            <v>32597</v>
          </cell>
          <cell r="J54">
            <v>20168.691212279831</v>
          </cell>
        </row>
        <row r="55">
          <cell r="E55">
            <v>44681</v>
          </cell>
          <cell r="F55">
            <v>25446</v>
          </cell>
          <cell r="J55">
            <v>-5570.7826330534081</v>
          </cell>
        </row>
        <row r="56">
          <cell r="E56">
            <v>44712</v>
          </cell>
          <cell r="F56">
            <v>49191</v>
          </cell>
          <cell r="J56">
            <v>-24417.002040107393</v>
          </cell>
        </row>
        <row r="57">
          <cell r="E57">
            <v>44742</v>
          </cell>
          <cell r="F57">
            <v>32408</v>
          </cell>
          <cell r="J57">
            <v>-22905.835240927227</v>
          </cell>
        </row>
        <row r="58">
          <cell r="E58">
            <v>44773</v>
          </cell>
          <cell r="F58">
            <v>28554</v>
          </cell>
          <cell r="J58">
            <v>-19105.722664904839</v>
          </cell>
        </row>
        <row r="59">
          <cell r="E59">
            <v>44804</v>
          </cell>
          <cell r="F59">
            <v>44473</v>
          </cell>
          <cell r="J59">
            <v>-12525.326914445322</v>
          </cell>
        </row>
        <row r="60">
          <cell r="E60">
            <v>44834</v>
          </cell>
          <cell r="F60">
            <v>42148</v>
          </cell>
          <cell r="J60">
            <v>-5645.9809143021557</v>
          </cell>
        </row>
        <row r="61">
          <cell r="E61">
            <v>44865</v>
          </cell>
          <cell r="F61">
            <v>40341</v>
          </cell>
          <cell r="J61">
            <v>1526.0974894163955</v>
          </cell>
        </row>
        <row r="62">
          <cell r="E62">
            <v>44895</v>
          </cell>
          <cell r="F62">
            <v>41282</v>
          </cell>
          <cell r="J62">
            <v>15098.663893942423</v>
          </cell>
        </row>
        <row r="63">
          <cell r="E63">
            <v>44926</v>
          </cell>
          <cell r="F63">
            <v>40045</v>
          </cell>
          <cell r="J63">
            <v>30216.431732057885</v>
          </cell>
        </row>
        <row r="64">
          <cell r="E64">
            <v>44957</v>
          </cell>
          <cell r="F64">
            <v>30805</v>
          </cell>
          <cell r="J64">
            <v>57567.99539029981</v>
          </cell>
        </row>
        <row r="65">
          <cell r="E65">
            <v>44985</v>
          </cell>
          <cell r="F65">
            <v>36904</v>
          </cell>
          <cell r="J65">
            <v>26278.08823065881</v>
          </cell>
        </row>
        <row r="66">
          <cell r="E66">
            <v>45016</v>
          </cell>
          <cell r="F66">
            <v>47258</v>
          </cell>
          <cell r="J66">
            <v>39109.374523043116</v>
          </cell>
        </row>
        <row r="67">
          <cell r="E67">
            <v>45046</v>
          </cell>
          <cell r="F67">
            <v>33977</v>
          </cell>
          <cell r="J67">
            <v>33259.741033482569</v>
          </cell>
        </row>
        <row r="68">
          <cell r="E68">
            <v>45077</v>
          </cell>
          <cell r="F68">
            <v>51732</v>
          </cell>
          <cell r="J68">
            <v>53988.614670252544</v>
          </cell>
        </row>
        <row r="69">
          <cell r="E69">
            <v>45107</v>
          </cell>
          <cell r="F69">
            <v>42493</v>
          </cell>
          <cell r="J69">
            <v>39526.781074880739</v>
          </cell>
        </row>
        <row r="70">
          <cell r="E70">
            <v>45138</v>
          </cell>
          <cell r="F70">
            <v>33368</v>
          </cell>
          <cell r="J70">
            <v>36966.651384960438</v>
          </cell>
        </row>
        <row r="71">
          <cell r="E71">
            <v>45169</v>
          </cell>
          <cell r="F71">
            <v>52612</v>
          </cell>
          <cell r="J71">
            <v>51534.19324238813</v>
          </cell>
        </row>
        <row r="72">
          <cell r="E72">
            <v>45199</v>
          </cell>
          <cell r="F72">
            <v>52467</v>
          </cell>
          <cell r="J72">
            <v>49488.301550504271</v>
          </cell>
        </row>
        <row r="73">
          <cell r="E73">
            <v>45230</v>
          </cell>
          <cell r="F73">
            <v>42235</v>
          </cell>
          <cell r="J73">
            <v>47884.594419667097</v>
          </cell>
        </row>
        <row r="74">
          <cell r="E74">
            <v>45260</v>
          </cell>
          <cell r="F74">
            <v>59404</v>
          </cell>
          <cell r="J74">
            <v>49058.684515461158</v>
          </cell>
        </row>
        <row r="75">
          <cell r="E75">
            <v>45291</v>
          </cell>
          <cell r="F75">
            <v>52434</v>
          </cell>
          <cell r="J75">
            <v>49414.763428269289</v>
          </cell>
        </row>
        <row r="76">
          <cell r="E76">
            <v>45322</v>
          </cell>
          <cell r="F76">
            <v>52855</v>
          </cell>
          <cell r="J76">
            <v>44610.065781828263</v>
          </cell>
        </row>
        <row r="77">
          <cell r="E77">
            <v>45351</v>
          </cell>
          <cell r="F77">
            <v>45697</v>
          </cell>
          <cell r="J77">
            <v>47587.373583926717</v>
          </cell>
        </row>
        <row r="78">
          <cell r="E78">
            <v>45382</v>
          </cell>
          <cell r="F78">
            <v>42815</v>
          </cell>
          <cell r="J78">
            <v>58043.83316005813</v>
          </cell>
        </row>
        <row r="79">
          <cell r="E79">
            <v>45412</v>
          </cell>
          <cell r="F79">
            <v>35800</v>
          </cell>
          <cell r="J79">
            <v>44864.742960307616</v>
          </cell>
        </row>
      </sheetData>
      <sheetData sheetId="9">
        <row r="4">
          <cell r="E4" t="str">
            <v>22 M1</v>
          </cell>
          <cell r="F4">
            <v>59844</v>
          </cell>
        </row>
        <row r="5">
          <cell r="E5" t="str">
            <v>22 M2</v>
          </cell>
          <cell r="F5">
            <v>21730</v>
          </cell>
        </row>
        <row r="6">
          <cell r="E6" t="str">
            <v>22 M3</v>
          </cell>
          <cell r="F6">
            <v>32597</v>
          </cell>
        </row>
        <row r="7">
          <cell r="E7" t="str">
            <v>22 M4</v>
          </cell>
          <cell r="F7">
            <v>25446</v>
          </cell>
        </row>
        <row r="8">
          <cell r="E8" t="str">
            <v>22 M5</v>
          </cell>
          <cell r="F8">
            <v>49191</v>
          </cell>
        </row>
        <row r="9">
          <cell r="E9" t="str">
            <v>22 M6</v>
          </cell>
          <cell r="F9">
            <v>32408</v>
          </cell>
        </row>
        <row r="10">
          <cell r="E10" t="str">
            <v>22 M7</v>
          </cell>
          <cell r="F10">
            <v>28554</v>
          </cell>
        </row>
        <row r="11">
          <cell r="E11" t="str">
            <v>22 M8</v>
          </cell>
          <cell r="F11">
            <v>44473</v>
          </cell>
        </row>
        <row r="12">
          <cell r="E12" t="str">
            <v>22 M9</v>
          </cell>
          <cell r="F12">
            <v>42148</v>
          </cell>
        </row>
        <row r="13">
          <cell r="E13" t="str">
            <v>22 M10</v>
          </cell>
          <cell r="F13">
            <v>40341</v>
          </cell>
        </row>
        <row r="14">
          <cell r="E14" t="str">
            <v>22 M11</v>
          </cell>
          <cell r="F14">
            <v>41282</v>
          </cell>
        </row>
        <row r="15">
          <cell r="E15" t="str">
            <v>22 M12</v>
          </cell>
          <cell r="F15">
            <v>40045</v>
          </cell>
        </row>
        <row r="16">
          <cell r="E16" t="str">
            <v>23 M1</v>
          </cell>
          <cell r="F16">
            <v>30805</v>
          </cell>
          <cell r="J16">
            <v>60383.097222222219</v>
          </cell>
        </row>
        <row r="17">
          <cell r="E17" t="str">
            <v>23 M2</v>
          </cell>
          <cell r="F17">
            <v>36904</v>
          </cell>
          <cell r="J17">
            <v>20589.837152777778</v>
          </cell>
        </row>
        <row r="18">
          <cell r="E18" t="str">
            <v>23 M3</v>
          </cell>
          <cell r="F18">
            <v>47258</v>
          </cell>
          <cell r="J18">
            <v>32110.317942708331</v>
          </cell>
        </row>
        <row r="19">
          <cell r="E19" t="str">
            <v>23 M4</v>
          </cell>
          <cell r="F19">
            <v>33977</v>
          </cell>
          <cell r="J19">
            <v>26137.093780164934</v>
          </cell>
        </row>
        <row r="20">
          <cell r="E20" t="str">
            <v>23 M5</v>
          </cell>
          <cell r="J20">
            <v>51079.824506960736</v>
          </cell>
        </row>
        <row r="21">
          <cell r="E21" t="str">
            <v>23 M6</v>
          </cell>
          <cell r="J21">
            <v>35249.47191249067</v>
          </cell>
        </row>
        <row r="22">
          <cell r="E22" t="str">
            <v>23 M7</v>
          </cell>
          <cell r="J22">
            <v>32866.927343594827</v>
          </cell>
        </row>
        <row r="23">
          <cell r="E23" t="str">
            <v>23 M8</v>
          </cell>
          <cell r="J23">
            <v>50023.330920647772</v>
          </cell>
        </row>
      </sheetData>
      <sheetData sheetId="10" refreshError="1"/>
      <sheetData sheetId="11">
        <row r="6">
          <cell r="E6" t="str">
            <v>10 Q1</v>
          </cell>
          <cell r="F6">
            <v>10</v>
          </cell>
        </row>
        <row r="7">
          <cell r="E7" t="str">
            <v>10 Q2</v>
          </cell>
          <cell r="F7">
            <v>14</v>
          </cell>
        </row>
        <row r="8">
          <cell r="E8" t="str">
            <v>10 Q3</v>
          </cell>
          <cell r="F8">
            <v>8</v>
          </cell>
        </row>
        <row r="9">
          <cell r="E9" t="str">
            <v>10 Q4</v>
          </cell>
          <cell r="F9">
            <v>25</v>
          </cell>
        </row>
        <row r="10">
          <cell r="E10" t="str">
            <v>11 Q1</v>
          </cell>
          <cell r="F10">
            <v>16</v>
          </cell>
          <cell r="J10">
            <v>11.875</v>
          </cell>
        </row>
        <row r="11">
          <cell r="E11" t="str">
            <v>11 Q2</v>
          </cell>
          <cell r="F11">
            <v>22</v>
          </cell>
          <cell r="J11">
            <v>17.878140396707728</v>
          </cell>
        </row>
        <row r="12">
          <cell r="E12" t="str">
            <v>11 Q3</v>
          </cell>
          <cell r="F12">
            <v>14</v>
          </cell>
          <cell r="J12">
            <v>13.945253437422668</v>
          </cell>
        </row>
        <row r="13">
          <cell r="E13" t="str">
            <v>11 Q4</v>
          </cell>
          <cell r="F13">
            <v>35</v>
          </cell>
          <cell r="J13">
            <v>32.950045722713938</v>
          </cell>
        </row>
        <row r="14">
          <cell r="E14" t="str">
            <v>12 Q1</v>
          </cell>
          <cell r="F14">
            <v>15</v>
          </cell>
          <cell r="J14">
            <v>20.955265132140223</v>
          </cell>
        </row>
        <row r="15">
          <cell r="E15" t="str">
            <v>12 Q2</v>
          </cell>
          <cell r="F15">
            <v>27</v>
          </cell>
          <cell r="J15">
            <v>26.805337148589569</v>
          </cell>
        </row>
        <row r="16">
          <cell r="E16" t="str">
            <v>12 Q3</v>
          </cell>
          <cell r="F16">
            <v>18</v>
          </cell>
          <cell r="J16">
            <v>21.83022872922983</v>
          </cell>
        </row>
        <row r="17">
          <cell r="E17" t="str">
            <v>12 Q4</v>
          </cell>
          <cell r="F17">
            <v>40</v>
          </cell>
          <cell r="J17">
            <v>41.1110559548056</v>
          </cell>
        </row>
        <row r="18">
          <cell r="E18" t="str">
            <v>13 Q1</v>
          </cell>
          <cell r="F18">
            <v>28</v>
          </cell>
          <cell r="J18">
            <v>27.081398238996158</v>
          </cell>
        </row>
        <row r="19">
          <cell r="E19" t="str">
            <v>13 Q2</v>
          </cell>
          <cell r="F19">
            <v>40</v>
          </cell>
          <cell r="J19">
            <v>34.3766343607832</v>
          </cell>
        </row>
        <row r="20">
          <cell r="E20" t="str">
            <v>13 Q3</v>
          </cell>
          <cell r="F20">
            <v>25</v>
          </cell>
          <cell r="J20">
            <v>28.595864831042523</v>
          </cell>
        </row>
        <row r="21">
          <cell r="E21" t="str">
            <v>13 Q4</v>
          </cell>
          <cell r="F21">
            <v>65</v>
          </cell>
          <cell r="J21">
            <v>48.526892234125725</v>
          </cell>
        </row>
        <row r="22">
          <cell r="E22" t="str">
            <v>14 Q1</v>
          </cell>
          <cell r="J22">
            <v>35.533310752706932</v>
          </cell>
        </row>
        <row r="23">
          <cell r="E23" t="str">
            <v>14 Q2</v>
          </cell>
          <cell r="J23">
            <v>44.171008712804245</v>
          </cell>
        </row>
        <row r="24">
          <cell r="E24" t="str">
            <v>14 Q3</v>
          </cell>
          <cell r="J24">
            <v>36.407411226814958</v>
          </cell>
        </row>
        <row r="25">
          <cell r="E25" t="str">
            <v>14 Q4</v>
          </cell>
          <cell r="J25">
            <v>61.21175528895175</v>
          </cell>
        </row>
        <row r="26">
          <cell r="E26" t="str">
            <v>15 Q1</v>
          </cell>
          <cell r="J26">
            <v>44.218035279557022</v>
          </cell>
        </row>
        <row r="27">
          <cell r="E27" t="str">
            <v>16 Q2</v>
          </cell>
          <cell r="J27">
            <v>52.855733239654334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Holt-Winters"/>
      <sheetName val="Holt-Winters 1"/>
      <sheetName val="Holt-Winters 2"/>
      <sheetName val="Holt-Winters 3"/>
      <sheetName val="Holt-Winters 4"/>
      <sheetName val="Holt-Winters 4a"/>
      <sheetName val="Holt-Winters 5"/>
      <sheetName val="Holt-Winters 6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E4" t="str">
            <v>10 Q1</v>
          </cell>
          <cell r="F4">
            <v>10</v>
          </cell>
        </row>
        <row r="5">
          <cell r="E5" t="str">
            <v>10 Q2</v>
          </cell>
          <cell r="F5">
            <v>14</v>
          </cell>
        </row>
        <row r="6">
          <cell r="E6" t="str">
            <v>10 Q3</v>
          </cell>
          <cell r="F6">
            <v>8</v>
          </cell>
        </row>
        <row r="7">
          <cell r="E7" t="str">
            <v>10 Q4</v>
          </cell>
          <cell r="F7">
            <v>25</v>
          </cell>
        </row>
        <row r="8">
          <cell r="E8" t="str">
            <v>11 Q1</v>
          </cell>
          <cell r="F8">
            <v>16</v>
          </cell>
          <cell r="J8">
            <v>11.315789473684211</v>
          </cell>
        </row>
        <row r="9">
          <cell r="E9" t="str">
            <v>11 Q2</v>
          </cell>
          <cell r="F9">
            <v>22</v>
          </cell>
          <cell r="J9">
            <v>18.063081791952143</v>
          </cell>
        </row>
        <row r="10">
          <cell r="E10" t="str">
            <v>11 Q3</v>
          </cell>
          <cell r="F10">
            <v>14</v>
          </cell>
          <cell r="J10">
            <v>11.561049895567537</v>
          </cell>
        </row>
        <row r="11">
          <cell r="E11" t="str">
            <v>11 Q4</v>
          </cell>
          <cell r="F11">
            <v>35</v>
          </cell>
          <cell r="J11">
            <v>40.141578242244528</v>
          </cell>
        </row>
        <row r="12">
          <cell r="E12" t="str">
            <v>12 Q1</v>
          </cell>
          <cell r="F12">
            <v>15</v>
          </cell>
          <cell r="J12">
            <v>18.505135323931807</v>
          </cell>
        </row>
        <row r="13">
          <cell r="E13" t="str">
            <v>12 Q2</v>
          </cell>
          <cell r="F13">
            <v>27</v>
          </cell>
          <cell r="J13">
            <v>27.00351129729485</v>
          </cell>
        </row>
        <row r="14">
          <cell r="E14" t="str">
            <v>12 Q3</v>
          </cell>
          <cell r="F14">
            <v>18</v>
          </cell>
          <cell r="J14">
            <v>16.566051909954734</v>
          </cell>
        </row>
        <row r="15">
          <cell r="E15" t="str">
            <v>12 Q4</v>
          </cell>
          <cell r="F15">
            <v>40</v>
          </cell>
          <cell r="J15">
            <v>52.818757153015305</v>
          </cell>
        </row>
        <row r="16">
          <cell r="E16" t="str">
            <v>13 Q1</v>
          </cell>
          <cell r="F16">
            <v>28</v>
          </cell>
          <cell r="J16">
            <v>23.386348613540935</v>
          </cell>
        </row>
        <row r="17">
          <cell r="E17" t="str">
            <v>13 Q2</v>
          </cell>
          <cell r="F17">
            <v>40</v>
          </cell>
          <cell r="J17">
            <v>35.11374554867551</v>
          </cell>
        </row>
        <row r="18">
          <cell r="E18" t="str">
            <v>13 Q3</v>
          </cell>
          <cell r="F18">
            <v>25</v>
          </cell>
          <cell r="J18">
            <v>21.653707053768095</v>
          </cell>
        </row>
        <row r="19">
          <cell r="E19" t="str">
            <v>13 Q4</v>
          </cell>
          <cell r="F19">
            <v>65</v>
          </cell>
          <cell r="J19">
            <v>64.999997292142652</v>
          </cell>
        </row>
        <row r="20">
          <cell r="E20" t="str">
            <v>&gt;</v>
          </cell>
          <cell r="J20">
            <v>30.908792763762207</v>
          </cell>
        </row>
      </sheetData>
      <sheetData sheetId="7">
        <row r="4">
          <cell r="E4" t="str">
            <v>10 Q1</v>
          </cell>
          <cell r="F4">
            <v>10</v>
          </cell>
        </row>
        <row r="5">
          <cell r="E5" t="str">
            <v>10 Q2</v>
          </cell>
          <cell r="F5">
            <v>14</v>
          </cell>
        </row>
        <row r="6">
          <cell r="E6" t="str">
            <v>10 Q3</v>
          </cell>
          <cell r="F6">
            <v>8</v>
          </cell>
        </row>
        <row r="7">
          <cell r="E7" t="str">
            <v>10 Q4</v>
          </cell>
          <cell r="F7">
            <v>25</v>
          </cell>
        </row>
        <row r="8">
          <cell r="E8" t="str">
            <v>11 Q1</v>
          </cell>
          <cell r="F8">
            <v>16</v>
          </cell>
          <cell r="J8">
            <v>11.875</v>
          </cell>
        </row>
        <row r="9">
          <cell r="E9" t="str">
            <v>11 Q2</v>
          </cell>
          <cell r="F9">
            <v>22</v>
          </cell>
          <cell r="J9">
            <v>17.878140738945099</v>
          </cell>
        </row>
        <row r="10">
          <cell r="E10" t="str">
            <v>11 Q3</v>
          </cell>
          <cell r="F10">
            <v>14</v>
          </cell>
          <cell r="J10">
            <v>13.945254282124136</v>
          </cell>
        </row>
        <row r="11">
          <cell r="E11" t="str">
            <v>11 Q4</v>
          </cell>
          <cell r="F11">
            <v>35</v>
          </cell>
          <cell r="J11">
            <v>32.950046882508765</v>
          </cell>
        </row>
        <row r="12">
          <cell r="E12" t="str">
            <v>12 Q1</v>
          </cell>
          <cell r="F12">
            <v>15</v>
          </cell>
          <cell r="J12">
            <v>20.955264391273481</v>
          </cell>
        </row>
        <row r="13">
          <cell r="E13" t="str">
            <v>12 Q2</v>
          </cell>
          <cell r="F13">
            <v>27</v>
          </cell>
          <cell r="J13">
            <v>26.80533625362434</v>
          </cell>
        </row>
        <row r="14">
          <cell r="E14" t="str">
            <v>12 Q3</v>
          </cell>
          <cell r="F14">
            <v>18</v>
          </cell>
          <cell r="J14">
            <v>21.830230248964916</v>
          </cell>
        </row>
        <row r="15">
          <cell r="E15" t="str">
            <v>12 Q4</v>
          </cell>
          <cell r="F15">
            <v>40</v>
          </cell>
          <cell r="J15">
            <v>41.111056075520047</v>
          </cell>
        </row>
        <row r="16">
          <cell r="E16" t="str">
            <v>13 Q1</v>
          </cell>
          <cell r="F16">
            <v>28</v>
          </cell>
          <cell r="J16">
            <v>27.081400913273562</v>
          </cell>
        </row>
        <row r="17">
          <cell r="E17" t="str">
            <v>13 Q2</v>
          </cell>
          <cell r="F17">
            <v>40</v>
          </cell>
          <cell r="J17">
            <v>34.376633416700244</v>
          </cell>
        </row>
        <row r="18">
          <cell r="E18" t="str">
            <v>13 Q3</v>
          </cell>
          <cell r="F18">
            <v>25</v>
          </cell>
          <cell r="J18">
            <v>28.595868296183948</v>
          </cell>
        </row>
        <row r="19">
          <cell r="E19" t="str">
            <v>13 Q4</v>
          </cell>
          <cell r="F19">
            <v>65</v>
          </cell>
          <cell r="J19">
            <v>48.526893035170218</v>
          </cell>
        </row>
        <row r="20">
          <cell r="E20" t="str">
            <v>14 Q1</v>
          </cell>
          <cell r="J20">
            <v>35.533313796687494</v>
          </cell>
        </row>
        <row r="21">
          <cell r="E21" t="str">
            <v>14 Q2</v>
          </cell>
          <cell r="J21">
            <v>44.17100698771943</v>
          </cell>
        </row>
        <row r="22">
          <cell r="E22" t="str">
            <v>14 Q3</v>
          </cell>
          <cell r="J22">
            <v>36.407418404722478</v>
          </cell>
        </row>
        <row r="23">
          <cell r="E23" t="str">
            <v>14 Q4</v>
          </cell>
          <cell r="J23">
            <v>61.211749797143028</v>
          </cell>
        </row>
      </sheetData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ELATI AYU ARINI" id="{BE6DF54F-E156-4EAC-B66D-321DB158374D}" userId="S::21059915@btpn.com::ccff918d-461d-4656-96b8-5c4998077ce5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IN ARIANTO PRADIPTA" refreshedDate="45433.452014120368" createdVersion="8" refreshedVersion="8" minRefreshableVersion="3" recordCount="76" xr:uid="{AAC0A0B6-27FE-4A9D-928E-F839364C6F1E}">
  <cacheSource type="worksheet">
    <worksheetSource ref="A1:B77" sheet="Exp Smoothing - Orange"/>
  </cacheSource>
  <cacheFields count="5">
    <cacheField name="Periode" numFmtId="14">
      <sharedItems containsSemiMixedTypes="0" containsNonDate="0" containsDate="1" containsString="0" minDate="2018-01-31T00:00:00" maxDate="2024-05-01T00:00:00" count="76"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</sharedItems>
      <fieldGroup par="4"/>
    </cacheField>
    <cacheField name="Demand" numFmtId="0">
      <sharedItems containsSemiMixedTypes="0" containsString="0" containsNumber="1" containsInteger="1" minValue="8510" maxValue="118501"/>
    </cacheField>
    <cacheField name="Months (Periode)" numFmtId="0" databaseField="0">
      <fieldGroup base="0">
        <rangePr groupBy="months" startDate="2018-01-31T00:00:00" endDate="2024-05-01T00:00:00"/>
        <groupItems count="14">
          <s v="&lt;31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5/2024"/>
        </groupItems>
      </fieldGroup>
    </cacheField>
    <cacheField name="Quarters (Periode)" numFmtId="0" databaseField="0">
      <fieldGroup base="0">
        <rangePr groupBy="quarters" startDate="2018-01-31T00:00:00" endDate="2024-05-01T00:00:00"/>
        <groupItems count="6">
          <s v="&lt;31/01/2018"/>
          <s v="Qtr1"/>
          <s v="Qtr2"/>
          <s v="Qtr3"/>
          <s v="Qtr4"/>
          <s v="&gt;01/05/2024"/>
        </groupItems>
      </fieldGroup>
    </cacheField>
    <cacheField name="Years (Periode)" numFmtId="0" databaseField="0">
      <fieldGroup base="0">
        <rangePr groupBy="years" startDate="2018-01-31T00:00:00" endDate="2024-05-01T00:00:00"/>
        <groupItems count="9">
          <s v="&lt;31/01/2018"/>
          <s v="2018"/>
          <s v="2019"/>
          <s v="2020"/>
          <s v="2021"/>
          <s v="2022"/>
          <s v="2023"/>
          <s v="2024"/>
          <s v="&gt;01/05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34890"/>
  </r>
  <r>
    <x v="1"/>
    <n v="25830"/>
  </r>
  <r>
    <x v="2"/>
    <n v="41054"/>
  </r>
  <r>
    <x v="3"/>
    <n v="36838"/>
  </r>
  <r>
    <x v="4"/>
    <n v="56808"/>
  </r>
  <r>
    <x v="5"/>
    <n v="34939"/>
  </r>
  <r>
    <x v="6"/>
    <n v="41853"/>
  </r>
  <r>
    <x v="7"/>
    <n v="58036"/>
  </r>
  <r>
    <x v="8"/>
    <n v="42879"/>
  </r>
  <r>
    <x v="9"/>
    <n v="54081"/>
  </r>
  <r>
    <x v="10"/>
    <n v="31764"/>
  </r>
  <r>
    <x v="11"/>
    <n v="45101"/>
  </r>
  <r>
    <x v="12"/>
    <n v="61974"/>
  </r>
  <r>
    <x v="13"/>
    <n v="37927"/>
  </r>
  <r>
    <x v="14"/>
    <n v="59679"/>
  </r>
  <r>
    <x v="15"/>
    <n v="56163"/>
  </r>
  <r>
    <x v="16"/>
    <n v="118501"/>
  </r>
  <r>
    <x v="17"/>
    <n v="78698"/>
  </r>
  <r>
    <x v="18"/>
    <n v="109530"/>
  </r>
  <r>
    <x v="19"/>
    <n v="116775"/>
  </r>
  <r>
    <x v="20"/>
    <n v="115435"/>
  </r>
  <r>
    <x v="21"/>
    <n v="100006"/>
  </r>
  <r>
    <x v="22"/>
    <n v="105375"/>
  </r>
  <r>
    <x v="23"/>
    <n v="106477"/>
  </r>
  <r>
    <x v="24"/>
    <n v="82087"/>
  </r>
  <r>
    <x v="25"/>
    <n v="90055"/>
  </r>
  <r>
    <x v="26"/>
    <n v="77921"/>
  </r>
  <r>
    <x v="27"/>
    <n v="31224"/>
  </r>
  <r>
    <x v="28"/>
    <n v="23641"/>
  </r>
  <r>
    <x v="29"/>
    <n v="36735"/>
  </r>
  <r>
    <x v="30"/>
    <n v="44506"/>
  </r>
  <r>
    <x v="31"/>
    <n v="55883"/>
  </r>
  <r>
    <x v="32"/>
    <n v="68914"/>
  </r>
  <r>
    <x v="33"/>
    <n v="47439"/>
  </r>
  <r>
    <x v="34"/>
    <n v="75926"/>
  </r>
  <r>
    <x v="35"/>
    <n v="67387"/>
  </r>
  <r>
    <x v="36"/>
    <n v="60442"/>
  </r>
  <r>
    <x v="37"/>
    <n v="63811"/>
  </r>
  <r>
    <x v="38"/>
    <n v="55821"/>
  </r>
  <r>
    <x v="39"/>
    <n v="33014"/>
  </r>
  <r>
    <x v="40"/>
    <n v="11690"/>
  </r>
  <r>
    <x v="41"/>
    <n v="9100"/>
  </r>
  <r>
    <x v="42"/>
    <n v="8510"/>
  </r>
  <r>
    <x v="43"/>
    <n v="10133"/>
  </r>
  <r>
    <x v="44"/>
    <n v="10459"/>
  </r>
  <r>
    <x v="45"/>
    <n v="14893"/>
  </r>
  <r>
    <x v="46"/>
    <n v="20774"/>
  </r>
  <r>
    <x v="47"/>
    <n v="32567"/>
  </r>
  <r>
    <x v="48"/>
    <n v="59844"/>
  </r>
  <r>
    <x v="49"/>
    <n v="21730"/>
  </r>
  <r>
    <x v="50"/>
    <n v="32597"/>
  </r>
  <r>
    <x v="51"/>
    <n v="25446"/>
  </r>
  <r>
    <x v="52"/>
    <n v="49191"/>
  </r>
  <r>
    <x v="53"/>
    <n v="32408"/>
  </r>
  <r>
    <x v="54"/>
    <n v="28554"/>
  </r>
  <r>
    <x v="55"/>
    <n v="44473"/>
  </r>
  <r>
    <x v="56"/>
    <n v="42148"/>
  </r>
  <r>
    <x v="57"/>
    <n v="40341"/>
  </r>
  <r>
    <x v="58"/>
    <n v="41282"/>
  </r>
  <r>
    <x v="59"/>
    <n v="40045"/>
  </r>
  <r>
    <x v="60"/>
    <n v="30805"/>
  </r>
  <r>
    <x v="61"/>
    <n v="36904"/>
  </r>
  <r>
    <x v="62"/>
    <n v="47258"/>
  </r>
  <r>
    <x v="63"/>
    <n v="33977"/>
  </r>
  <r>
    <x v="64"/>
    <n v="51732"/>
  </r>
  <r>
    <x v="65"/>
    <n v="42493"/>
  </r>
  <r>
    <x v="66"/>
    <n v="33368"/>
  </r>
  <r>
    <x v="67"/>
    <n v="52612"/>
  </r>
  <r>
    <x v="68"/>
    <n v="52467"/>
  </r>
  <r>
    <x v="69"/>
    <n v="42235"/>
  </r>
  <r>
    <x v="70"/>
    <n v="59404"/>
  </r>
  <r>
    <x v="71"/>
    <n v="52434"/>
  </r>
  <r>
    <x v="72"/>
    <n v="52855"/>
  </r>
  <r>
    <x v="73"/>
    <n v="45697"/>
  </r>
  <r>
    <x v="74"/>
    <n v="42815"/>
  </r>
  <r>
    <x v="75"/>
    <n v="35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C7E166-226F-44C5-BE9C-46C02C02E13A}" name="PivotTable15" cacheId="1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3:F37" firstHeaderRow="1" firstDataRow="1" firstDataCol="4"/>
  <pivotFields count="5">
    <pivotField axis="axisRow" compact="0" numFmtId="14" outline="0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dataField="1" compact="0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>
      <items count="10">
        <item sd="0" x="0"/>
        <item x="1"/>
        <item x="2"/>
        <item x="3"/>
        <item x="4"/>
        <item x="5"/>
        <item x="6"/>
        <item x="7"/>
        <item sd="0" x="8"/>
        <item t="default"/>
      </items>
    </pivotField>
  </pivotFields>
  <rowFields count="4">
    <field x="4"/>
    <field x="3"/>
    <field x="2"/>
    <field x="0"/>
  </rowFields>
  <rowItems count="34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>
      <x v="5"/>
      <x v="1"/>
    </i>
    <i r="1">
      <x v="2"/>
    </i>
    <i r="1">
      <x v="3"/>
    </i>
    <i r="1">
      <x v="4"/>
    </i>
    <i t="default">
      <x v="5"/>
    </i>
    <i>
      <x v="6"/>
      <x v="1"/>
    </i>
    <i r="1">
      <x v="2"/>
    </i>
    <i r="1">
      <x v="3"/>
    </i>
    <i r="1">
      <x v="4"/>
    </i>
    <i t="default">
      <x v="6"/>
    </i>
    <i>
      <x v="7"/>
      <x v="1"/>
    </i>
    <i r="1">
      <x v="2"/>
    </i>
    <i t="default">
      <x v="7"/>
    </i>
    <i t="grand">
      <x/>
    </i>
  </rowItems>
  <colItems count="1">
    <i/>
  </colItems>
  <dataFields count="1">
    <dataField name="Sum of Deman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4" dT="2023-04-04T10:29:49.72" personId="{BE6DF54F-E156-4EAC-B66D-321DB158374D}" id="{F1056DCF-7931-4067-A8EB-2040C9A3F481}">
    <text>Penjumlahan dari tgl 1 - tgl terakhir di file excel update card stock for dashboard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4" dT="2023-04-04T10:29:49.72" personId="{BE6DF54F-E156-4EAC-B66D-321DB158374D}" id="{933AF690-86A9-4D36-9328-64E00D2B2CFA}">
    <text>Penjumlahan dari tgl 1 - tgl terakhir di file excel update card stock for dashboard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64" dT="2023-04-04T10:29:21.47" personId="{BE6DF54F-E156-4EAC-B66D-321DB158374D}" id="{6DA2B90C-6C98-484E-9060-3051562FE7EC}">
    <text>Penjumlahan dari tgl 1 - tgl terakhir di file excel update card stock for dashboard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61" dT="2023-04-04T10:29:08.18" personId="{BE6DF54F-E156-4EAC-B66D-321DB158374D}" id="{905FFF86-4A2F-4FDD-B41F-8C0936999EE0}">
    <text xml:space="preserve">Penjumlahan dari tgl 1 - tgl terakhir di file excel update card stock for dashboard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64" dT="2023-04-04T10:29:57.52" personId="{BE6DF54F-E156-4EAC-B66D-321DB158374D}" id="{A69F20F1-249E-455E-B3E3-DF87B88304CD}">
    <text>Penjumlahan dari tgl 1 - tgl terakhir di file excel update card stock for dashboard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64" dT="2023-04-04T10:30:18.75" personId="{BE6DF54F-E156-4EAC-B66D-321DB158374D}" id="{156855B2-3D10-449B-A507-1DA91C1ABC6F}">
    <text>Penjumlahan dari tgl 1 - tgl terakhir di file excel update card stock for dashboard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8" dT="2023-04-04T10:30:45.10" personId="{BE6DF54F-E156-4EAC-B66D-321DB158374D}" id="{4CB9FAEE-E144-4BB2-A4D5-0E935544239F}">
    <text xml:space="preserve">Penjumlahan dari tgl 1 - tgl terakhir di file excel update card stock for dashboard
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8" dT="2023-04-04T10:31:05.33" personId="{BE6DF54F-E156-4EAC-B66D-321DB158374D}" id="{4C22FFA5-83D3-45F0-B3EB-4323476CC0B0}">
    <text>Penjumlahan dari tgl 1 - tgl terakhir di file excel update card stock for dashboard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B8" dT="2023-04-04T10:31:21.93" personId="{BE6DF54F-E156-4EAC-B66D-321DB158374D}" id="{59857943-B565-4D9C-8399-32C4CF2480EE}">
    <text>Penjumlahan dari tgl 1 - tgl terakhir di file excel update card stock for dashboard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B5" dT="2023-04-04T10:29:57.52" personId="{BE6DF54F-E156-4EAC-B66D-321DB158374D}" id="{A69F20F1-249E-455F-B3E3-DF87B88304CD}">
    <text>Penjumlahan dari tgl 1 - tgl terakhir di file excel update card stock for dashboard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0.xml"/><Relationship Id="rId4" Type="http://schemas.microsoft.com/office/2017/10/relationships/threadedComment" Target="../threadedComments/threadedComment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6.xml"/><Relationship Id="rId4" Type="http://schemas.microsoft.com/office/2017/10/relationships/threadedComment" Target="../threadedComments/threadedComment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7.xml"/><Relationship Id="rId4" Type="http://schemas.microsoft.com/office/2017/10/relationships/threadedComment" Target="../threadedComments/threadedComment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8.xml"/><Relationship Id="rId4" Type="http://schemas.microsoft.com/office/2017/10/relationships/threadedComment" Target="../threadedComments/threadedComment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9.xml"/><Relationship Id="rId4" Type="http://schemas.microsoft.com/office/2017/10/relationships/threadedComment" Target="../threadedComments/threadedComment6.x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3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20.xml"/><Relationship Id="rId4" Type="http://schemas.microsoft.com/office/2017/10/relationships/threadedComment" Target="../threadedComments/threadedCommen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opLeftCell="A31" workbookViewId="0">
      <selection activeCell="K15" sqref="K15"/>
    </sheetView>
  </sheetViews>
  <sheetFormatPr defaultRowHeight="14.5" x14ac:dyDescent="0.35"/>
  <cols>
    <col min="1" max="1" width="4.81640625" customWidth="1"/>
    <col min="2" max="2" width="6.81640625" customWidth="1"/>
    <col min="3" max="3" width="9.81640625" bestFit="1" customWidth="1"/>
    <col min="4" max="4" width="10.54296875" bestFit="1" customWidth="1"/>
    <col min="10" max="10" width="12.54296875" bestFit="1" customWidth="1"/>
    <col min="11" max="12" width="10.08984375" bestFit="1" customWidth="1"/>
    <col min="16" max="16" width="9.81640625" bestFit="1" customWidth="1"/>
    <col min="17" max="17" width="6.81640625" bestFit="1" customWidth="1"/>
    <col min="20" max="20" width="10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2</v>
      </c>
      <c r="Q1" t="s">
        <v>8</v>
      </c>
      <c r="S1" t="s">
        <v>12</v>
      </c>
      <c r="T1" s="2">
        <f>INTERCEPT(J2:J33,A2:A33)</f>
        <v>44168.266316818845</v>
      </c>
    </row>
    <row r="2" spans="1:20" x14ac:dyDescent="0.35">
      <c r="A2">
        <v>1</v>
      </c>
      <c r="B2">
        <v>2018</v>
      </c>
      <c r="C2" t="s">
        <v>13</v>
      </c>
      <c r="D2" s="3">
        <v>43131</v>
      </c>
      <c r="E2" s="2">
        <v>34890</v>
      </c>
      <c r="I2" s="4">
        <f>VLOOKUP(C2,$P$1:$Q$13,2,FALSE)</f>
        <v>1.0932767590300791</v>
      </c>
      <c r="J2" s="5">
        <f>E2/I2</f>
        <v>31913.236709571429</v>
      </c>
      <c r="K2" s="6">
        <f>$T$1+$T$2*A2</f>
        <v>45320.064247605049</v>
      </c>
      <c r="L2" s="7">
        <f>I2*K2</f>
        <v>49547.372959656612</v>
      </c>
      <c r="P2" t="s">
        <v>13</v>
      </c>
      <c r="Q2" s="4">
        <f>AVERAGEIF($C$4:$C$31,P2,$H$4:$H$31)</f>
        <v>1.0932767590300791</v>
      </c>
      <c r="R2" s="4"/>
      <c r="S2" t="s">
        <v>14</v>
      </c>
      <c r="T2" s="2">
        <f>SLOPE(J2:J33,A2:A33)</f>
        <v>1151.7979307862056</v>
      </c>
    </row>
    <row r="3" spans="1:20" x14ac:dyDescent="0.35">
      <c r="A3">
        <v>2</v>
      </c>
      <c r="C3" t="s">
        <v>15</v>
      </c>
      <c r="D3" s="3">
        <v>43159</v>
      </c>
      <c r="E3" s="2">
        <v>25830</v>
      </c>
      <c r="I3" s="4">
        <f t="shared" ref="I3:I38" si="0">VLOOKUP(C3,$P$1:$Q$13,2,FALSE)</f>
        <v>0.92560653301731555</v>
      </c>
      <c r="J3" s="5">
        <f t="shared" ref="J3:J33" si="1">E3/I3</f>
        <v>27906.026025765736</v>
      </c>
      <c r="K3" s="6">
        <f t="shared" ref="K3:K38" si="2">$T$1+$T$2*A3</f>
        <v>46471.862178391253</v>
      </c>
      <c r="L3" s="7">
        <f t="shared" ref="L3:L38" si="3">I3*K3</f>
        <v>43014.659233799241</v>
      </c>
      <c r="P3" t="s">
        <v>15</v>
      </c>
      <c r="Q3" s="4">
        <f t="shared" ref="Q3:Q13" si="4">AVERAGEIF($C$4:$C$31,P3,$H$4:$H$31)</f>
        <v>0.92560653301731555</v>
      </c>
    </row>
    <row r="4" spans="1:20" x14ac:dyDescent="0.35">
      <c r="A4">
        <v>3</v>
      </c>
      <c r="C4" t="s">
        <v>16</v>
      </c>
      <c r="D4" s="3">
        <v>43190</v>
      </c>
      <c r="E4" s="2">
        <v>41054</v>
      </c>
      <c r="F4" s="5">
        <f>AVERAGE(E2:E5)</f>
        <v>34653</v>
      </c>
      <c r="G4" s="5">
        <f>AVERAGE(F4:F5)</f>
        <v>37392.75</v>
      </c>
      <c r="H4" s="4">
        <f>E4/G4</f>
        <v>1.0979133655588316</v>
      </c>
      <c r="I4" s="4">
        <f t="shared" si="0"/>
        <v>1.1042529324259849</v>
      </c>
      <c r="J4" s="5">
        <f t="shared" si="1"/>
        <v>37178.076502641969</v>
      </c>
      <c r="K4" s="6">
        <f t="shared" si="2"/>
        <v>47623.660109177465</v>
      </c>
      <c r="L4" s="7">
        <f t="shared" si="3"/>
        <v>52588.566328417612</v>
      </c>
      <c r="P4" t="s">
        <v>16</v>
      </c>
      <c r="Q4" s="4">
        <f t="shared" si="4"/>
        <v>1.1042529324259849</v>
      </c>
    </row>
    <row r="5" spans="1:20" x14ac:dyDescent="0.35">
      <c r="A5">
        <v>4</v>
      </c>
      <c r="C5" t="s">
        <v>17</v>
      </c>
      <c r="D5" s="3">
        <v>43220</v>
      </c>
      <c r="E5" s="2">
        <v>36838</v>
      </c>
      <c r="F5" s="5">
        <f t="shared" ref="F5:F32" si="5">AVERAGE(E3:E6)</f>
        <v>40132.5</v>
      </c>
      <c r="G5" s="5">
        <f t="shared" ref="G5:G31" si="6">AVERAGE(F5:F6)</f>
        <v>41271.125</v>
      </c>
      <c r="H5" s="4">
        <f t="shared" ref="H5:H31" si="7">E5/G5</f>
        <v>0.89258531237033156</v>
      </c>
      <c r="I5" s="4">
        <f t="shared" si="0"/>
        <v>0.76561827379351843</v>
      </c>
      <c r="J5" s="5">
        <f t="shared" si="1"/>
        <v>48115.361480955107</v>
      </c>
      <c r="K5" s="6">
        <f t="shared" si="2"/>
        <v>48775.458039963669</v>
      </c>
      <c r="L5" s="7">
        <f t="shared" si="3"/>
        <v>37343.381988045177</v>
      </c>
      <c r="P5" t="s">
        <v>17</v>
      </c>
      <c r="Q5" s="4">
        <f t="shared" si="4"/>
        <v>0.76561827379351843</v>
      </c>
    </row>
    <row r="6" spans="1:20" x14ac:dyDescent="0.35">
      <c r="A6">
        <v>5</v>
      </c>
      <c r="C6" t="s">
        <v>18</v>
      </c>
      <c r="D6" s="3">
        <v>43251</v>
      </c>
      <c r="E6" s="2">
        <v>56808</v>
      </c>
      <c r="F6" s="5">
        <f t="shared" si="5"/>
        <v>42409.75</v>
      </c>
      <c r="G6" s="5">
        <f t="shared" si="6"/>
        <v>42509.625</v>
      </c>
      <c r="H6" s="4">
        <f t="shared" si="7"/>
        <v>1.336356178159652</v>
      </c>
      <c r="I6" s="4">
        <f t="shared" si="0"/>
        <v>1.1192311852208408</v>
      </c>
      <c r="J6" s="5">
        <f t="shared" si="1"/>
        <v>50756.269794958353</v>
      </c>
      <c r="K6" s="6">
        <f t="shared" si="2"/>
        <v>49927.255970749873</v>
      </c>
      <c r="L6" s="7">
        <f t="shared" si="3"/>
        <v>55880.141874966677</v>
      </c>
      <c r="P6" t="s">
        <v>18</v>
      </c>
      <c r="Q6" s="4">
        <f t="shared" si="4"/>
        <v>1.1192311852208408</v>
      </c>
    </row>
    <row r="7" spans="1:20" x14ac:dyDescent="0.35">
      <c r="A7">
        <v>6</v>
      </c>
      <c r="C7" t="s">
        <v>19</v>
      </c>
      <c r="D7" s="3">
        <v>43281</v>
      </c>
      <c r="E7" s="2">
        <v>34939</v>
      </c>
      <c r="F7" s="5">
        <f t="shared" si="5"/>
        <v>42609.5</v>
      </c>
      <c r="G7" s="5">
        <f t="shared" si="6"/>
        <v>45259.25</v>
      </c>
      <c r="H7" s="4">
        <f t="shared" si="7"/>
        <v>0.77197478968387678</v>
      </c>
      <c r="I7" s="4">
        <f t="shared" si="0"/>
        <v>0.854164603094555</v>
      </c>
      <c r="J7" s="5">
        <f t="shared" si="1"/>
        <v>40904.293942197335</v>
      </c>
      <c r="K7" s="6">
        <f t="shared" si="2"/>
        <v>51079.053901536077</v>
      </c>
      <c r="L7" s="7">
        <f t="shared" si="3"/>
        <v>43629.919802250944</v>
      </c>
      <c r="P7" t="s">
        <v>19</v>
      </c>
      <c r="Q7" s="4">
        <f t="shared" si="4"/>
        <v>0.854164603094555</v>
      </c>
    </row>
    <row r="8" spans="1:20" x14ac:dyDescent="0.35">
      <c r="A8">
        <v>7</v>
      </c>
      <c r="C8" t="s">
        <v>20</v>
      </c>
      <c r="D8" s="3">
        <v>43312</v>
      </c>
      <c r="E8" s="2">
        <v>41853</v>
      </c>
      <c r="F8" s="5">
        <f t="shared" si="5"/>
        <v>47909</v>
      </c>
      <c r="G8" s="5">
        <f t="shared" si="6"/>
        <v>46167.875</v>
      </c>
      <c r="H8" s="4">
        <f t="shared" si="7"/>
        <v>0.90653944977974399</v>
      </c>
      <c r="I8" s="4">
        <f t="shared" si="0"/>
        <v>0.97240492612408014</v>
      </c>
      <c r="J8" s="5">
        <f t="shared" si="1"/>
        <v>43040.711616735993</v>
      </c>
      <c r="K8" s="6">
        <f t="shared" si="2"/>
        <v>52230.851832322282</v>
      </c>
      <c r="L8" s="7">
        <f t="shared" si="3"/>
        <v>50789.537617407121</v>
      </c>
      <c r="P8" t="s">
        <v>20</v>
      </c>
      <c r="Q8" s="4">
        <f t="shared" si="4"/>
        <v>0.97240492612408014</v>
      </c>
    </row>
    <row r="9" spans="1:20" x14ac:dyDescent="0.35">
      <c r="A9">
        <v>8</v>
      </c>
      <c r="C9" t="s">
        <v>21</v>
      </c>
      <c r="D9" s="3">
        <v>43343</v>
      </c>
      <c r="E9" s="2">
        <v>58036</v>
      </c>
      <c r="F9" s="5">
        <f t="shared" si="5"/>
        <v>44426.75</v>
      </c>
      <c r="G9" s="5">
        <f t="shared" si="6"/>
        <v>46819.5</v>
      </c>
      <c r="H9" s="4">
        <f t="shared" si="7"/>
        <v>1.2395689830092163</v>
      </c>
      <c r="I9" s="4">
        <f t="shared" si="0"/>
        <v>1.1615481985555394</v>
      </c>
      <c r="J9" s="5">
        <f t="shared" si="1"/>
        <v>49964.349367655632</v>
      </c>
      <c r="K9" s="6">
        <f t="shared" si="2"/>
        <v>53382.649763108493</v>
      </c>
      <c r="L9" s="7">
        <f t="shared" si="3"/>
        <v>62006.520666459961</v>
      </c>
      <c r="P9" t="s">
        <v>21</v>
      </c>
      <c r="Q9" s="4">
        <f t="shared" si="4"/>
        <v>1.1615481985555394</v>
      </c>
    </row>
    <row r="10" spans="1:20" x14ac:dyDescent="0.35">
      <c r="A10">
        <v>9</v>
      </c>
      <c r="C10" t="s">
        <v>22</v>
      </c>
      <c r="D10" s="3">
        <v>43373</v>
      </c>
      <c r="E10" s="2">
        <v>42879</v>
      </c>
      <c r="F10" s="5">
        <f t="shared" si="5"/>
        <v>49212.25</v>
      </c>
      <c r="G10" s="5">
        <f t="shared" si="6"/>
        <v>47951.125</v>
      </c>
      <c r="H10" s="4">
        <f t="shared" si="7"/>
        <v>0.89422302396450548</v>
      </c>
      <c r="I10" s="4">
        <f t="shared" si="0"/>
        <v>0.97221167267149933</v>
      </c>
      <c r="J10" s="5">
        <f t="shared" si="1"/>
        <v>44104.592863172082</v>
      </c>
      <c r="K10" s="6">
        <f t="shared" si="2"/>
        <v>54534.447693894697</v>
      </c>
      <c r="L10" s="7">
        <f t="shared" si="3"/>
        <v>53019.026610697751</v>
      </c>
      <c r="P10" t="s">
        <v>22</v>
      </c>
      <c r="Q10" s="4">
        <f t="shared" si="4"/>
        <v>0.97221167267149933</v>
      </c>
    </row>
    <row r="11" spans="1:20" x14ac:dyDescent="0.35">
      <c r="A11">
        <v>10</v>
      </c>
      <c r="C11" t="s">
        <v>23</v>
      </c>
      <c r="D11" s="3">
        <v>43404</v>
      </c>
      <c r="E11" s="2">
        <v>54081</v>
      </c>
      <c r="F11" s="5">
        <f t="shared" si="5"/>
        <v>46690</v>
      </c>
      <c r="G11" s="5">
        <f t="shared" si="6"/>
        <v>45073.125</v>
      </c>
      <c r="H11" s="4">
        <f t="shared" si="7"/>
        <v>1.1998502433545488</v>
      </c>
      <c r="I11" s="4">
        <f t="shared" si="0"/>
        <v>1.0624426384772152</v>
      </c>
      <c r="J11" s="5">
        <f t="shared" si="1"/>
        <v>50902.512795903574</v>
      </c>
      <c r="K11" s="6">
        <f t="shared" si="2"/>
        <v>55686.245624680902</v>
      </c>
      <c r="L11" s="7">
        <f t="shared" si="3"/>
        <v>59163.44172837626</v>
      </c>
      <c r="P11" t="s">
        <v>23</v>
      </c>
      <c r="Q11" s="4">
        <f t="shared" si="4"/>
        <v>1.0624426384772152</v>
      </c>
    </row>
    <row r="12" spans="1:20" x14ac:dyDescent="0.35">
      <c r="A12">
        <v>11</v>
      </c>
      <c r="C12" t="s">
        <v>24</v>
      </c>
      <c r="D12" s="3">
        <v>43434</v>
      </c>
      <c r="E12" s="2">
        <v>31764</v>
      </c>
      <c r="F12" s="5">
        <f t="shared" si="5"/>
        <v>43456.25</v>
      </c>
      <c r="G12" s="5">
        <f t="shared" si="6"/>
        <v>45843.125</v>
      </c>
      <c r="H12" s="4">
        <f t="shared" si="7"/>
        <v>0.69288470190459306</v>
      </c>
      <c r="I12" s="4">
        <f t="shared" si="0"/>
        <v>0.85969185962091643</v>
      </c>
      <c r="J12" s="5">
        <f t="shared" si="1"/>
        <v>36948.122335375403</v>
      </c>
      <c r="K12" s="6">
        <f t="shared" si="2"/>
        <v>56838.043555467106</v>
      </c>
      <c r="L12" s="7">
        <f t="shared" si="3"/>
        <v>48863.203361414162</v>
      </c>
      <c r="P12" t="s">
        <v>24</v>
      </c>
      <c r="Q12" s="4">
        <f t="shared" si="4"/>
        <v>0.85969185962091643</v>
      </c>
    </row>
    <row r="13" spans="1:20" x14ac:dyDescent="0.35">
      <c r="A13">
        <v>12</v>
      </c>
      <c r="C13" t="s">
        <v>25</v>
      </c>
      <c r="D13" s="3">
        <v>43465</v>
      </c>
      <c r="E13" s="2">
        <v>45101</v>
      </c>
      <c r="F13" s="5">
        <f t="shared" si="5"/>
        <v>48230</v>
      </c>
      <c r="G13" s="5">
        <f t="shared" si="6"/>
        <v>46210.75</v>
      </c>
      <c r="H13" s="4">
        <f t="shared" si="7"/>
        <v>0.97598502512943419</v>
      </c>
      <c r="I13" s="4">
        <f t="shared" si="0"/>
        <v>1.0354750272605995</v>
      </c>
      <c r="J13" s="5">
        <f t="shared" si="1"/>
        <v>43555.854861431988</v>
      </c>
      <c r="K13" s="6">
        <f t="shared" si="2"/>
        <v>57989.84148625331</v>
      </c>
      <c r="L13" s="7">
        <f t="shared" si="3"/>
        <v>60047.032693815992</v>
      </c>
      <c r="P13" t="s">
        <v>25</v>
      </c>
      <c r="Q13" s="4">
        <f t="shared" si="4"/>
        <v>1.0354750272605995</v>
      </c>
    </row>
    <row r="14" spans="1:20" x14ac:dyDescent="0.35">
      <c r="A14">
        <v>13</v>
      </c>
      <c r="B14">
        <v>2019</v>
      </c>
      <c r="C14" t="s">
        <v>13</v>
      </c>
      <c r="D14" s="3">
        <v>43496</v>
      </c>
      <c r="E14" s="2">
        <v>61974</v>
      </c>
      <c r="F14" s="5">
        <f t="shared" si="5"/>
        <v>44191.5</v>
      </c>
      <c r="G14" s="5">
        <f t="shared" si="6"/>
        <v>47680.875</v>
      </c>
      <c r="H14" s="4">
        <f t="shared" si="7"/>
        <v>1.2997664157799118</v>
      </c>
      <c r="I14" s="4">
        <f t="shared" si="0"/>
        <v>1.0932767590300791</v>
      </c>
      <c r="J14" s="5">
        <f t="shared" si="1"/>
        <v>56686.469814817421</v>
      </c>
      <c r="K14" s="6">
        <f t="shared" si="2"/>
        <v>59141.639417039522</v>
      </c>
      <c r="L14" s="7">
        <f t="shared" si="3"/>
        <v>64658.17986558655</v>
      </c>
    </row>
    <row r="15" spans="1:20" x14ac:dyDescent="0.35">
      <c r="A15">
        <v>14</v>
      </c>
      <c r="C15" t="s">
        <v>15</v>
      </c>
      <c r="D15" s="3">
        <v>43524</v>
      </c>
      <c r="E15" s="2">
        <v>37927</v>
      </c>
      <c r="F15" s="5">
        <f t="shared" si="5"/>
        <v>51170.25</v>
      </c>
      <c r="G15" s="5">
        <f t="shared" si="6"/>
        <v>52553</v>
      </c>
      <c r="H15" s="4">
        <f t="shared" si="7"/>
        <v>0.72169048389245138</v>
      </c>
      <c r="I15" s="4">
        <f t="shared" si="0"/>
        <v>0.92560653301731555</v>
      </c>
      <c r="J15" s="5">
        <f t="shared" si="1"/>
        <v>40975.294195865936</v>
      </c>
      <c r="K15" s="6">
        <f t="shared" si="2"/>
        <v>60293.437347825718</v>
      </c>
      <c r="L15" s="7">
        <f t="shared" si="3"/>
        <v>55807.99950721769</v>
      </c>
    </row>
    <row r="16" spans="1:20" x14ac:dyDescent="0.35">
      <c r="A16">
        <v>15</v>
      </c>
      <c r="C16" t="s">
        <v>16</v>
      </c>
      <c r="D16" s="3">
        <v>43555</v>
      </c>
      <c r="E16" s="2">
        <v>59679</v>
      </c>
      <c r="F16" s="5">
        <f t="shared" si="5"/>
        <v>53935.75</v>
      </c>
      <c r="G16" s="5">
        <f t="shared" si="6"/>
        <v>61001.625</v>
      </c>
      <c r="H16" s="4">
        <f t="shared" si="7"/>
        <v>0.97831820053973972</v>
      </c>
      <c r="I16" s="4">
        <f t="shared" si="0"/>
        <v>1.1042529324259849</v>
      </c>
      <c r="J16" s="5">
        <f t="shared" si="1"/>
        <v>54044.683285457453</v>
      </c>
      <c r="K16" s="6">
        <f t="shared" si="2"/>
        <v>61445.23527861193</v>
      </c>
      <c r="L16" s="7">
        <f t="shared" si="3"/>
        <v>67851.081240011801</v>
      </c>
    </row>
    <row r="17" spans="1:12" x14ac:dyDescent="0.35">
      <c r="A17">
        <v>16</v>
      </c>
      <c r="C17" t="s">
        <v>17</v>
      </c>
      <c r="D17" s="3">
        <v>43585</v>
      </c>
      <c r="E17" s="2">
        <v>56163</v>
      </c>
      <c r="F17" s="5">
        <f t="shared" si="5"/>
        <v>68067.5</v>
      </c>
      <c r="G17" s="5">
        <f t="shared" si="6"/>
        <v>73163.875</v>
      </c>
      <c r="H17" s="4">
        <f t="shared" si="7"/>
        <v>0.7676329336028197</v>
      </c>
      <c r="I17" s="4">
        <f t="shared" si="0"/>
        <v>0.76561827379351843</v>
      </c>
      <c r="J17" s="5">
        <f t="shared" si="1"/>
        <v>73356.399556297358</v>
      </c>
      <c r="K17" s="6">
        <f t="shared" si="2"/>
        <v>62597.033209398134</v>
      </c>
      <c r="L17" s="7">
        <f t="shared" si="3"/>
        <v>47925.432510374943</v>
      </c>
    </row>
    <row r="18" spans="1:12" x14ac:dyDescent="0.35">
      <c r="A18">
        <v>17</v>
      </c>
      <c r="C18" t="s">
        <v>18</v>
      </c>
      <c r="D18" s="3">
        <v>43616</v>
      </c>
      <c r="E18" s="2">
        <v>118501</v>
      </c>
      <c r="F18" s="5">
        <f t="shared" si="5"/>
        <v>78260.25</v>
      </c>
      <c r="G18" s="5">
        <f t="shared" si="6"/>
        <v>84491.625</v>
      </c>
      <c r="H18" s="4">
        <f t="shared" si="7"/>
        <v>1.402517705157168</v>
      </c>
      <c r="I18" s="4">
        <f t="shared" si="0"/>
        <v>1.1192311852208408</v>
      </c>
      <c r="J18" s="5">
        <f t="shared" si="1"/>
        <v>105877.14277869948</v>
      </c>
      <c r="K18" s="6">
        <f t="shared" si="2"/>
        <v>63748.831140184338</v>
      </c>
      <c r="L18" s="7">
        <f t="shared" si="3"/>
        <v>71349.679833471761</v>
      </c>
    </row>
    <row r="19" spans="1:12" x14ac:dyDescent="0.35">
      <c r="A19">
        <v>18</v>
      </c>
      <c r="C19" t="s">
        <v>19</v>
      </c>
      <c r="D19" s="3">
        <v>43646</v>
      </c>
      <c r="E19" s="2">
        <v>78698</v>
      </c>
      <c r="F19" s="5">
        <f t="shared" si="5"/>
        <v>90723</v>
      </c>
      <c r="G19" s="5">
        <f t="shared" si="6"/>
        <v>98299.5</v>
      </c>
      <c r="H19" s="4">
        <f t="shared" si="7"/>
        <v>0.8005941027166974</v>
      </c>
      <c r="I19" s="4">
        <f t="shared" si="0"/>
        <v>0.854164603094555</v>
      </c>
      <c r="J19" s="5">
        <f t="shared" si="1"/>
        <v>92134.466489110913</v>
      </c>
      <c r="K19" s="6">
        <f t="shared" si="2"/>
        <v>64900.62907097055</v>
      </c>
      <c r="L19" s="7">
        <f t="shared" si="3"/>
        <v>55435.8200709925</v>
      </c>
    </row>
    <row r="20" spans="1:12" x14ac:dyDescent="0.35">
      <c r="A20">
        <v>19</v>
      </c>
      <c r="C20" t="s">
        <v>20</v>
      </c>
      <c r="D20" s="3">
        <v>43677</v>
      </c>
      <c r="E20" s="2">
        <v>109530</v>
      </c>
      <c r="F20" s="5">
        <f t="shared" si="5"/>
        <v>105876</v>
      </c>
      <c r="G20" s="5">
        <f t="shared" si="6"/>
        <v>105492.75</v>
      </c>
      <c r="H20" s="4">
        <f t="shared" si="7"/>
        <v>1.0382704024684162</v>
      </c>
      <c r="I20" s="4">
        <f t="shared" si="0"/>
        <v>0.97240492612408014</v>
      </c>
      <c r="J20" s="5">
        <f t="shared" si="1"/>
        <v>112638.26113734006</v>
      </c>
      <c r="K20" s="6">
        <f t="shared" si="2"/>
        <v>66052.427001756747</v>
      </c>
      <c r="L20" s="7">
        <f t="shared" si="3"/>
        <v>64229.705398959464</v>
      </c>
    </row>
    <row r="21" spans="1:12" x14ac:dyDescent="0.35">
      <c r="A21">
        <v>20</v>
      </c>
      <c r="C21" t="s">
        <v>21</v>
      </c>
      <c r="D21" s="3">
        <v>43708</v>
      </c>
      <c r="E21" s="2">
        <v>116775</v>
      </c>
      <c r="F21" s="5">
        <f t="shared" si="5"/>
        <v>105109.5</v>
      </c>
      <c r="G21" s="5">
        <f t="shared" si="6"/>
        <v>107773</v>
      </c>
      <c r="H21" s="4">
        <f t="shared" si="7"/>
        <v>1.0835274141018623</v>
      </c>
      <c r="I21" s="4">
        <f t="shared" si="0"/>
        <v>1.1615481985555394</v>
      </c>
      <c r="J21" s="5">
        <f t="shared" si="1"/>
        <v>100533.92544985848</v>
      </c>
      <c r="K21" s="6">
        <f t="shared" si="2"/>
        <v>67204.224932542958</v>
      </c>
      <c r="L21" s="7">
        <f t="shared" si="3"/>
        <v>78060.946405716531</v>
      </c>
    </row>
    <row r="22" spans="1:12" x14ac:dyDescent="0.35">
      <c r="A22">
        <v>21</v>
      </c>
      <c r="C22" t="s">
        <v>22</v>
      </c>
      <c r="D22" s="3">
        <v>43738</v>
      </c>
      <c r="E22" s="2">
        <v>115435</v>
      </c>
      <c r="F22" s="5">
        <f t="shared" si="5"/>
        <v>110436.5</v>
      </c>
      <c r="G22" s="5">
        <f t="shared" si="6"/>
        <v>109917.125</v>
      </c>
      <c r="H22" s="4">
        <f t="shared" si="7"/>
        <v>1.0502003213784932</v>
      </c>
      <c r="I22" s="4">
        <f t="shared" si="0"/>
        <v>0.97221167267149933</v>
      </c>
      <c r="J22" s="5">
        <f t="shared" si="1"/>
        <v>118734.43124047364</v>
      </c>
      <c r="K22" s="6">
        <f t="shared" si="2"/>
        <v>68356.022863329155</v>
      </c>
      <c r="L22" s="7">
        <f t="shared" si="3"/>
        <v>66456.523325128495</v>
      </c>
    </row>
    <row r="23" spans="1:12" x14ac:dyDescent="0.35">
      <c r="A23">
        <v>22</v>
      </c>
      <c r="C23" t="s">
        <v>23</v>
      </c>
      <c r="D23" s="3">
        <v>43769</v>
      </c>
      <c r="E23" s="2">
        <v>100006</v>
      </c>
      <c r="F23" s="5">
        <f t="shared" si="5"/>
        <v>109397.75</v>
      </c>
      <c r="G23" s="5">
        <f t="shared" si="6"/>
        <v>108110.5</v>
      </c>
      <c r="H23" s="4">
        <f t="shared" si="7"/>
        <v>0.9250350335998816</v>
      </c>
      <c r="I23" s="4">
        <f t="shared" si="0"/>
        <v>1.0624426384772152</v>
      </c>
      <c r="J23" s="5">
        <f t="shared" si="1"/>
        <v>94128.375855977749</v>
      </c>
      <c r="K23" s="6">
        <f t="shared" si="2"/>
        <v>69507.820794115367</v>
      </c>
      <c r="L23" s="7">
        <f t="shared" si="3"/>
        <v>73848.072519301379</v>
      </c>
    </row>
    <row r="24" spans="1:12" x14ac:dyDescent="0.35">
      <c r="A24">
        <v>23</v>
      </c>
      <c r="C24" t="s">
        <v>24</v>
      </c>
      <c r="D24" s="3">
        <v>43799</v>
      </c>
      <c r="E24" s="2">
        <v>105375</v>
      </c>
      <c r="F24" s="5">
        <f t="shared" si="5"/>
        <v>106823.25</v>
      </c>
      <c r="G24" s="5">
        <f t="shared" si="6"/>
        <v>102654.75</v>
      </c>
      <c r="H24" s="4">
        <f t="shared" si="7"/>
        <v>1.0264990173372397</v>
      </c>
      <c r="I24" s="4">
        <f t="shared" si="0"/>
        <v>0.85969185962091643</v>
      </c>
      <c r="J24" s="5">
        <f t="shared" si="1"/>
        <v>122572.98800812817</v>
      </c>
      <c r="K24" s="6">
        <f t="shared" si="2"/>
        <v>70659.618724901578</v>
      </c>
      <c r="L24" s="7">
        <f t="shared" si="3"/>
        <v>60745.499021715565</v>
      </c>
    </row>
    <row r="25" spans="1:12" x14ac:dyDescent="0.35">
      <c r="A25">
        <v>24</v>
      </c>
      <c r="C25" t="s">
        <v>25</v>
      </c>
      <c r="D25" s="3">
        <v>43830</v>
      </c>
      <c r="E25" s="2">
        <v>106477</v>
      </c>
      <c r="F25" s="5">
        <f t="shared" si="5"/>
        <v>98486.25</v>
      </c>
      <c r="G25" s="5">
        <f t="shared" si="6"/>
        <v>97242.375</v>
      </c>
      <c r="H25" s="4">
        <f t="shared" si="7"/>
        <v>1.0949650293917645</v>
      </c>
      <c r="I25" s="4">
        <f t="shared" si="0"/>
        <v>1.0354750272605995</v>
      </c>
      <c r="J25" s="5">
        <f t="shared" si="1"/>
        <v>102829.13367953467</v>
      </c>
      <c r="K25" s="6">
        <f t="shared" si="2"/>
        <v>71811.416655687775</v>
      </c>
      <c r="L25" s="7">
        <f t="shared" si="3"/>
        <v>74358.928619170561</v>
      </c>
    </row>
    <row r="26" spans="1:12" x14ac:dyDescent="0.35">
      <c r="A26">
        <v>25</v>
      </c>
      <c r="B26">
        <v>2020</v>
      </c>
      <c r="C26" t="s">
        <v>13</v>
      </c>
      <c r="D26" s="3">
        <v>43861</v>
      </c>
      <c r="E26" s="2">
        <v>82087</v>
      </c>
      <c r="F26" s="5">
        <f t="shared" si="5"/>
        <v>95998.5</v>
      </c>
      <c r="G26" s="5">
        <f t="shared" si="6"/>
        <v>92566.75</v>
      </c>
      <c r="H26" s="4">
        <f t="shared" si="7"/>
        <v>0.88678710228024638</v>
      </c>
      <c r="I26" s="4">
        <f t="shared" si="0"/>
        <v>1.0932767590300791</v>
      </c>
      <c r="J26" s="5">
        <f t="shared" si="1"/>
        <v>75083.458348483517</v>
      </c>
      <c r="K26" s="6">
        <f t="shared" si="2"/>
        <v>72963.214586473987</v>
      </c>
      <c r="L26" s="7">
        <f t="shared" si="3"/>
        <v>79768.986771516473</v>
      </c>
    </row>
    <row r="27" spans="1:12" x14ac:dyDescent="0.35">
      <c r="A27">
        <v>26</v>
      </c>
      <c r="C27" t="s">
        <v>15</v>
      </c>
      <c r="D27" s="3">
        <v>43890</v>
      </c>
      <c r="E27" s="2">
        <v>90055</v>
      </c>
      <c r="F27" s="5">
        <f t="shared" si="5"/>
        <v>89135</v>
      </c>
      <c r="G27" s="5">
        <f t="shared" si="6"/>
        <v>79728.375</v>
      </c>
      <c r="H27" s="4">
        <f t="shared" si="7"/>
        <v>1.1295225821421797</v>
      </c>
      <c r="I27" s="4">
        <f t="shared" si="0"/>
        <v>0.92560653301731555</v>
      </c>
      <c r="J27" s="5">
        <f t="shared" si="1"/>
        <v>97292.960656226613</v>
      </c>
      <c r="K27" s="6">
        <f t="shared" si="2"/>
        <v>74115.012517260184</v>
      </c>
      <c r="L27" s="7">
        <f t="shared" si="3"/>
        <v>68601.339780636146</v>
      </c>
    </row>
    <row r="28" spans="1:12" x14ac:dyDescent="0.35">
      <c r="A28">
        <v>27</v>
      </c>
      <c r="C28" t="s">
        <v>16</v>
      </c>
      <c r="D28" s="3">
        <v>43921</v>
      </c>
      <c r="E28" s="2">
        <v>77921</v>
      </c>
      <c r="F28" s="5">
        <f t="shared" si="5"/>
        <v>70321.75</v>
      </c>
      <c r="G28" s="5">
        <f t="shared" si="6"/>
        <v>63016</v>
      </c>
      <c r="H28" s="4">
        <f t="shared" si="7"/>
        <v>1.2365272311793831</v>
      </c>
      <c r="I28" s="4">
        <f t="shared" si="0"/>
        <v>1.1042529324259849</v>
      </c>
      <c r="J28" s="5">
        <f t="shared" si="1"/>
        <v>70564.449241544426</v>
      </c>
      <c r="K28" s="6">
        <f t="shared" si="2"/>
        <v>75266.810448046395</v>
      </c>
      <c r="L28" s="7">
        <f t="shared" si="3"/>
        <v>83113.596151605991</v>
      </c>
    </row>
    <row r="29" spans="1:12" x14ac:dyDescent="0.35">
      <c r="A29">
        <v>28</v>
      </c>
      <c r="C29" t="s">
        <v>17</v>
      </c>
      <c r="D29" s="3">
        <v>43951</v>
      </c>
      <c r="E29" s="2">
        <v>31224</v>
      </c>
      <c r="F29" s="5">
        <f t="shared" si="5"/>
        <v>55710.25</v>
      </c>
      <c r="G29" s="5">
        <f t="shared" si="6"/>
        <v>49045.25</v>
      </c>
      <c r="H29" s="4">
        <f t="shared" si="7"/>
        <v>0.63663657540740437</v>
      </c>
      <c r="I29" s="4">
        <f t="shared" si="0"/>
        <v>0.76561827379351843</v>
      </c>
      <c r="J29" s="5">
        <f t="shared" si="1"/>
        <v>40782.725633349866</v>
      </c>
      <c r="K29" s="6">
        <f t="shared" si="2"/>
        <v>76418.608378832607</v>
      </c>
      <c r="L29" s="7">
        <f t="shared" si="3"/>
        <v>58507.483032704724</v>
      </c>
    </row>
    <row r="30" spans="1:12" x14ac:dyDescent="0.35">
      <c r="A30">
        <v>29</v>
      </c>
      <c r="C30" t="s">
        <v>18</v>
      </c>
      <c r="D30" s="3">
        <v>43982</v>
      </c>
      <c r="E30" s="2">
        <v>23641</v>
      </c>
      <c r="F30" s="5">
        <f t="shared" si="5"/>
        <v>42380.25</v>
      </c>
      <c r="G30" s="5">
        <f t="shared" si="6"/>
        <v>38203.375</v>
      </c>
      <c r="H30" s="4">
        <f t="shared" si="7"/>
        <v>0.61881967234570245</v>
      </c>
      <c r="I30" s="4">
        <f t="shared" si="0"/>
        <v>1.1192311852208408</v>
      </c>
      <c r="J30" s="5">
        <f t="shared" si="1"/>
        <v>21122.535104608691</v>
      </c>
      <c r="K30" s="6">
        <f t="shared" si="2"/>
        <v>77570.406309618804</v>
      </c>
      <c r="L30" s="7">
        <f t="shared" si="3"/>
        <v>86819.217791976844</v>
      </c>
    </row>
    <row r="31" spans="1:12" x14ac:dyDescent="0.35">
      <c r="A31">
        <v>30</v>
      </c>
      <c r="C31" t="s">
        <v>19</v>
      </c>
      <c r="D31" s="3">
        <v>44012</v>
      </c>
      <c r="E31" s="2">
        <v>36735</v>
      </c>
      <c r="F31" s="5">
        <f t="shared" si="5"/>
        <v>34026.5</v>
      </c>
      <c r="G31" s="5">
        <f t="shared" si="6"/>
        <v>37108.875</v>
      </c>
      <c r="H31" s="4">
        <f t="shared" si="7"/>
        <v>0.98992491688309059</v>
      </c>
      <c r="I31" s="4">
        <f t="shared" si="0"/>
        <v>0.854164603094555</v>
      </c>
      <c r="J31" s="5">
        <f t="shared" si="1"/>
        <v>43006.933168282412</v>
      </c>
      <c r="K31" s="6">
        <f t="shared" si="2"/>
        <v>78722.204240405015</v>
      </c>
      <c r="L31" s="7">
        <f t="shared" si="3"/>
        <v>67241.720339734049</v>
      </c>
    </row>
    <row r="32" spans="1:12" x14ac:dyDescent="0.35">
      <c r="A32">
        <v>31</v>
      </c>
      <c r="C32" t="s">
        <v>20</v>
      </c>
      <c r="D32" s="3">
        <v>44043</v>
      </c>
      <c r="E32" s="2">
        <v>44506</v>
      </c>
      <c r="F32" s="5">
        <f t="shared" si="5"/>
        <v>40191.25</v>
      </c>
      <c r="G32" s="5"/>
      <c r="I32" s="4">
        <f t="shared" si="0"/>
        <v>0.97240492612408014</v>
      </c>
      <c r="J32" s="5">
        <f t="shared" si="1"/>
        <v>45768.998906039044</v>
      </c>
      <c r="K32" s="6">
        <f t="shared" si="2"/>
        <v>79874.002171191212</v>
      </c>
      <c r="L32" s="7">
        <f t="shared" si="3"/>
        <v>77669.8731805118</v>
      </c>
    </row>
    <row r="33" spans="1:12" x14ac:dyDescent="0.35">
      <c r="A33">
        <v>32</v>
      </c>
      <c r="C33" t="s">
        <v>21</v>
      </c>
      <c r="D33" s="3">
        <v>44074</v>
      </c>
      <c r="E33" s="2">
        <v>55883</v>
      </c>
      <c r="F33" s="5"/>
      <c r="I33" s="4">
        <f t="shared" si="0"/>
        <v>1.1615481985555394</v>
      </c>
      <c r="J33" s="5">
        <f t="shared" si="1"/>
        <v>48110.788746858838</v>
      </c>
      <c r="K33" s="6">
        <f t="shared" si="2"/>
        <v>81025.800101977424</v>
      </c>
      <c r="L33" s="7">
        <f t="shared" si="3"/>
        <v>94115.372144973109</v>
      </c>
    </row>
    <row r="34" spans="1:12" x14ac:dyDescent="0.35">
      <c r="A34" s="8">
        <v>33</v>
      </c>
      <c r="B34" s="8"/>
      <c r="C34" s="8" t="s">
        <v>22</v>
      </c>
      <c r="D34" s="9">
        <v>44104</v>
      </c>
      <c r="E34" s="8"/>
      <c r="F34" s="8"/>
      <c r="G34" s="8"/>
      <c r="H34" s="8"/>
      <c r="I34" s="10">
        <f t="shared" si="0"/>
        <v>0.97221167267149933</v>
      </c>
      <c r="J34" s="8"/>
      <c r="K34" s="11">
        <f t="shared" si="2"/>
        <v>82177.598032763635</v>
      </c>
      <c r="L34" s="12">
        <f t="shared" si="3"/>
        <v>79894.02003955924</v>
      </c>
    </row>
    <row r="35" spans="1:12" x14ac:dyDescent="0.35">
      <c r="A35" s="8">
        <v>34</v>
      </c>
      <c r="B35" s="8"/>
      <c r="C35" s="8" t="s">
        <v>23</v>
      </c>
      <c r="D35" s="9">
        <v>44135</v>
      </c>
      <c r="E35" s="8"/>
      <c r="F35" s="8"/>
      <c r="G35" s="8"/>
      <c r="H35" s="8"/>
      <c r="I35" s="10">
        <f t="shared" si="0"/>
        <v>1.0624426384772152</v>
      </c>
      <c r="J35" s="8"/>
      <c r="K35" s="11">
        <f t="shared" si="2"/>
        <v>83329.395963549832</v>
      </c>
      <c r="L35" s="12">
        <f t="shared" si="3"/>
        <v>88532.703310226498</v>
      </c>
    </row>
    <row r="36" spans="1:12" x14ac:dyDescent="0.35">
      <c r="A36" s="8">
        <v>35</v>
      </c>
      <c r="B36" s="8"/>
      <c r="C36" s="8" t="s">
        <v>24</v>
      </c>
      <c r="D36" s="9">
        <v>44165</v>
      </c>
      <c r="E36" s="8"/>
      <c r="F36" s="8"/>
      <c r="G36" s="8"/>
      <c r="H36" s="8"/>
      <c r="I36" s="10">
        <f t="shared" si="0"/>
        <v>0.85969185962091643</v>
      </c>
      <c r="J36" s="8"/>
      <c r="K36" s="11">
        <f t="shared" si="2"/>
        <v>84481.193894336044</v>
      </c>
      <c r="L36" s="12">
        <f t="shared" si="3"/>
        <v>72627.79468201696</v>
      </c>
    </row>
    <row r="37" spans="1:12" x14ac:dyDescent="0.35">
      <c r="A37" s="8">
        <v>36</v>
      </c>
      <c r="B37" s="8"/>
      <c r="C37" s="8" t="s">
        <v>25</v>
      </c>
      <c r="D37" s="9">
        <v>44196</v>
      </c>
      <c r="E37" s="8"/>
      <c r="F37" s="8"/>
      <c r="G37" s="8"/>
      <c r="H37" s="8"/>
      <c r="I37" s="10">
        <f t="shared" si="0"/>
        <v>1.0354750272605995</v>
      </c>
      <c r="J37" s="8"/>
      <c r="K37" s="11">
        <f t="shared" si="2"/>
        <v>85632.991825122241</v>
      </c>
      <c r="L37" s="12">
        <f t="shared" si="3"/>
        <v>88670.824544525138</v>
      </c>
    </row>
    <row r="38" spans="1:12" x14ac:dyDescent="0.35">
      <c r="A38" s="8">
        <v>37</v>
      </c>
      <c r="B38" s="8">
        <v>2021</v>
      </c>
      <c r="C38" s="8" t="s">
        <v>13</v>
      </c>
      <c r="D38" s="9">
        <v>44227</v>
      </c>
      <c r="E38" s="8"/>
      <c r="F38" s="8"/>
      <c r="G38" s="8"/>
      <c r="H38" s="8"/>
      <c r="I38" s="10">
        <f t="shared" si="0"/>
        <v>1.0932767590300791</v>
      </c>
      <c r="J38" s="8"/>
      <c r="K38" s="11">
        <f t="shared" si="2"/>
        <v>86784.789755908452</v>
      </c>
      <c r="L38" s="12">
        <f t="shared" si="3"/>
        <v>94879.793677446403</v>
      </c>
    </row>
    <row r="39" spans="1:12" x14ac:dyDescent="0.35">
      <c r="A39">
        <v>38</v>
      </c>
      <c r="C39" t="s">
        <v>15</v>
      </c>
      <c r="D39" s="3">
        <v>44255</v>
      </c>
    </row>
    <row r="40" spans="1:12" x14ac:dyDescent="0.35">
      <c r="A40">
        <v>39</v>
      </c>
      <c r="C40" t="s">
        <v>16</v>
      </c>
      <c r="D40" s="3">
        <v>44286</v>
      </c>
    </row>
    <row r="41" spans="1:12" x14ac:dyDescent="0.35">
      <c r="A41">
        <v>40</v>
      </c>
      <c r="C41" t="s">
        <v>17</v>
      </c>
      <c r="D41" s="3">
        <v>44316</v>
      </c>
    </row>
    <row r="42" spans="1:12" x14ac:dyDescent="0.35">
      <c r="A42">
        <v>41</v>
      </c>
      <c r="C42" t="s">
        <v>18</v>
      </c>
      <c r="D42" s="3">
        <v>44347</v>
      </c>
    </row>
    <row r="43" spans="1:12" x14ac:dyDescent="0.35">
      <c r="A43">
        <v>42</v>
      </c>
      <c r="C43" t="s">
        <v>19</v>
      </c>
      <c r="D43" s="3">
        <v>44377</v>
      </c>
    </row>
    <row r="44" spans="1:12" x14ac:dyDescent="0.35">
      <c r="A44">
        <v>43</v>
      </c>
      <c r="C44" t="s">
        <v>20</v>
      </c>
      <c r="D44" s="3">
        <v>44408</v>
      </c>
    </row>
    <row r="45" spans="1:12" x14ac:dyDescent="0.35">
      <c r="A45">
        <v>44</v>
      </c>
      <c r="C45" t="s">
        <v>21</v>
      </c>
      <c r="D45" s="3">
        <v>44439</v>
      </c>
    </row>
    <row r="46" spans="1:12" x14ac:dyDescent="0.35">
      <c r="A46">
        <v>45</v>
      </c>
      <c r="C46" t="s">
        <v>22</v>
      </c>
      <c r="D46" s="3">
        <v>44469</v>
      </c>
    </row>
    <row r="47" spans="1:12" x14ac:dyDescent="0.35">
      <c r="A47">
        <v>46</v>
      </c>
      <c r="C47" t="s">
        <v>23</v>
      </c>
      <c r="D47" s="3">
        <v>44500</v>
      </c>
    </row>
    <row r="48" spans="1:12" x14ac:dyDescent="0.35">
      <c r="A48">
        <v>47</v>
      </c>
      <c r="C48" t="s">
        <v>24</v>
      </c>
      <c r="D48" s="3">
        <v>44530</v>
      </c>
    </row>
    <row r="49" spans="1:4" x14ac:dyDescent="0.35">
      <c r="A49">
        <v>48</v>
      </c>
      <c r="C49" t="s">
        <v>25</v>
      </c>
      <c r="D49" s="3">
        <v>44561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topLeftCell="A37" workbookViewId="0">
      <selection activeCell="K15" sqref="K15"/>
    </sheetView>
  </sheetViews>
  <sheetFormatPr defaultRowHeight="14.5" x14ac:dyDescent="0.35"/>
  <cols>
    <col min="1" max="1" width="4.81640625" customWidth="1"/>
    <col min="3" max="3" width="9.81640625" bestFit="1" customWidth="1"/>
    <col min="4" max="4" width="10.54296875" bestFit="1" customWidth="1"/>
    <col min="10" max="10" width="12.54296875" bestFit="1" customWidth="1"/>
    <col min="11" max="12" width="9.08984375" bestFit="1" customWidth="1"/>
    <col min="16" max="16" width="9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2</v>
      </c>
      <c r="Q1" t="s">
        <v>8</v>
      </c>
      <c r="S1" t="s">
        <v>12</v>
      </c>
      <c r="T1" s="13">
        <f>INTERCEPT(J2:J33,A2:A33)</f>
        <v>1556.767241794148</v>
      </c>
    </row>
    <row r="2" spans="1:20" x14ac:dyDescent="0.35">
      <c r="A2">
        <v>1</v>
      </c>
      <c r="B2">
        <v>2018</v>
      </c>
      <c r="C2" t="s">
        <v>13</v>
      </c>
      <c r="D2" s="3">
        <v>43131</v>
      </c>
      <c r="E2" s="2">
        <v>1213</v>
      </c>
      <c r="I2" s="4">
        <f>VLOOKUP(C2,$P$1:$Q$13,2,0)</f>
        <v>0.72510793499805237</v>
      </c>
      <c r="J2" s="2">
        <f>E2/I2</f>
        <v>1672.8544006393449</v>
      </c>
      <c r="K2" s="2">
        <f>$T$1+$T$2*A2</f>
        <v>1575.5814828672201</v>
      </c>
      <c r="L2" s="2">
        <f>I2*K2</f>
        <v>1142.4666354630192</v>
      </c>
      <c r="P2" t="s">
        <v>13</v>
      </c>
      <c r="Q2" s="4">
        <f>AVERAGEIF($C$4:$C$31,P2,$H$4:$H$31)</f>
        <v>0.72510793499805237</v>
      </c>
      <c r="S2" t="s">
        <v>14</v>
      </c>
      <c r="T2" s="13">
        <f>SLOPE(J2:J33,A2:A33)</f>
        <v>18.814241073071933</v>
      </c>
    </row>
    <row r="3" spans="1:20" x14ac:dyDescent="0.35">
      <c r="A3">
        <v>2</v>
      </c>
      <c r="C3" t="s">
        <v>15</v>
      </c>
      <c r="D3" s="3">
        <v>43159</v>
      </c>
      <c r="E3" s="2">
        <v>1042</v>
      </c>
      <c r="I3" s="4">
        <f t="shared" ref="I3:I38" si="0">VLOOKUP(C3,$P$1:$Q$13,2,0)</f>
        <v>0.96463098921640644</v>
      </c>
      <c r="J3" s="2">
        <f t="shared" ref="J3:J33" si="1">E3/I3</f>
        <v>1080.2058109769439</v>
      </c>
      <c r="K3" s="2">
        <f t="shared" ref="K3:K38" si="2">$T$1+$T$2*A3</f>
        <v>1594.3957239402919</v>
      </c>
      <c r="L3" s="2">
        <f t="shared" ref="L3:L38" si="3">I3*K3</f>
        <v>1538.0035243869322</v>
      </c>
      <c r="P3" t="s">
        <v>15</v>
      </c>
      <c r="Q3" s="4">
        <f t="shared" ref="Q3:Q13" si="4">AVERAGEIF($C$4:$C$31,P3,$H$4:$H$31)</f>
        <v>0.96463098921640644</v>
      </c>
    </row>
    <row r="4" spans="1:20" x14ac:dyDescent="0.35">
      <c r="A4">
        <v>3</v>
      </c>
      <c r="C4" t="s">
        <v>16</v>
      </c>
      <c r="D4" s="3">
        <v>43190</v>
      </c>
      <c r="E4" s="2">
        <v>1142</v>
      </c>
      <c r="F4" s="5">
        <f>AVERAGE(E2:E5)</f>
        <v>1215.75</v>
      </c>
      <c r="G4" s="5">
        <f>AVERAGE(F4:F5)</f>
        <v>1241.625</v>
      </c>
      <c r="H4" s="4">
        <f>E4/G4</f>
        <v>0.91976240813450116</v>
      </c>
      <c r="I4" s="4">
        <f t="shared" si="0"/>
        <v>1.2254997117968642</v>
      </c>
      <c r="J4" s="2">
        <f t="shared" si="1"/>
        <v>931.86476423202544</v>
      </c>
      <c r="K4" s="2">
        <f t="shared" si="2"/>
        <v>1613.2099650133639</v>
      </c>
      <c r="L4" s="2">
        <f t="shared" si="3"/>
        <v>1976.9883471917069</v>
      </c>
      <c r="P4" t="s">
        <v>16</v>
      </c>
      <c r="Q4" s="4">
        <f t="shared" si="4"/>
        <v>1.2254997117968642</v>
      </c>
    </row>
    <row r="5" spans="1:20" x14ac:dyDescent="0.35">
      <c r="A5">
        <v>4</v>
      </c>
      <c r="C5" t="s">
        <v>17</v>
      </c>
      <c r="D5" s="3">
        <v>43220</v>
      </c>
      <c r="E5" s="2">
        <v>1466</v>
      </c>
      <c r="F5" s="5">
        <f t="shared" ref="F5:F32" si="5">AVERAGE(E3:E6)</f>
        <v>1267.5</v>
      </c>
      <c r="G5" s="5">
        <f t="shared" ref="G5:G31" si="6">AVERAGE(F5:F6)</f>
        <v>1280.5</v>
      </c>
      <c r="H5" s="4">
        <f t="shared" ref="H5:H31" si="7">E5/G5</f>
        <v>1.1448652869972666</v>
      </c>
      <c r="I5" s="4">
        <f t="shared" si="0"/>
        <v>1.0291245069007828</v>
      </c>
      <c r="J5" s="2">
        <f t="shared" si="1"/>
        <v>1424.5117963567609</v>
      </c>
      <c r="K5" s="2">
        <f t="shared" si="2"/>
        <v>1632.0242060864357</v>
      </c>
      <c r="L5" s="2">
        <f t="shared" si="3"/>
        <v>1679.5561063388448</v>
      </c>
      <c r="P5" t="s">
        <v>17</v>
      </c>
      <c r="Q5" s="4">
        <f t="shared" si="4"/>
        <v>1.0291245069007828</v>
      </c>
    </row>
    <row r="6" spans="1:20" x14ac:dyDescent="0.35">
      <c r="A6">
        <v>5</v>
      </c>
      <c r="C6" t="s">
        <v>18</v>
      </c>
      <c r="D6" s="3">
        <v>43251</v>
      </c>
      <c r="E6" s="2">
        <v>1420</v>
      </c>
      <c r="F6" s="5">
        <f t="shared" si="5"/>
        <v>1293.5</v>
      </c>
      <c r="G6" s="5">
        <f t="shared" si="6"/>
        <v>1396.125</v>
      </c>
      <c r="H6" s="4">
        <f t="shared" si="7"/>
        <v>1.0171009042886561</v>
      </c>
      <c r="I6" s="4">
        <f t="shared" si="0"/>
        <v>0.90701694922409304</v>
      </c>
      <c r="J6" s="2">
        <f t="shared" si="1"/>
        <v>1565.5716259930291</v>
      </c>
      <c r="K6" s="2">
        <f t="shared" si="2"/>
        <v>1650.8384471595077</v>
      </c>
      <c r="L6" s="2">
        <f t="shared" si="3"/>
        <v>1497.3384520044558</v>
      </c>
      <c r="P6" t="s">
        <v>18</v>
      </c>
      <c r="Q6" s="4">
        <f t="shared" si="4"/>
        <v>0.90701694922409304</v>
      </c>
    </row>
    <row r="7" spans="1:20" x14ac:dyDescent="0.35">
      <c r="A7">
        <v>6</v>
      </c>
      <c r="C7" t="s">
        <v>19</v>
      </c>
      <c r="D7" s="3">
        <v>43281</v>
      </c>
      <c r="E7" s="2">
        <v>1146</v>
      </c>
      <c r="F7" s="5">
        <f t="shared" si="5"/>
        <v>1498.75</v>
      </c>
      <c r="G7" s="5">
        <f t="shared" si="6"/>
        <v>1558.875</v>
      </c>
      <c r="H7" s="4">
        <f t="shared" si="7"/>
        <v>0.73514553764734181</v>
      </c>
      <c r="I7" s="4">
        <f t="shared" si="0"/>
        <v>1.0640177806062932</v>
      </c>
      <c r="J7" s="2">
        <f t="shared" si="1"/>
        <v>1077.049670492341</v>
      </c>
      <c r="K7" s="2">
        <f t="shared" si="2"/>
        <v>1669.6526882325797</v>
      </c>
      <c r="L7" s="2">
        <f t="shared" si="3"/>
        <v>1776.5401477165606</v>
      </c>
      <c r="P7" t="s">
        <v>19</v>
      </c>
      <c r="Q7" s="4">
        <f t="shared" si="4"/>
        <v>1.0640177806062932</v>
      </c>
    </row>
    <row r="8" spans="1:20" x14ac:dyDescent="0.35">
      <c r="A8">
        <v>7</v>
      </c>
      <c r="C8" t="s">
        <v>20</v>
      </c>
      <c r="D8" s="3">
        <v>43312</v>
      </c>
      <c r="E8" s="2">
        <v>1963</v>
      </c>
      <c r="F8" s="5">
        <f t="shared" si="5"/>
        <v>1619</v>
      </c>
      <c r="G8" s="5">
        <f t="shared" si="6"/>
        <v>1701.375</v>
      </c>
      <c r="H8" s="4">
        <f t="shared" si="7"/>
        <v>1.1537726838586437</v>
      </c>
      <c r="I8" s="4">
        <f t="shared" si="0"/>
        <v>1.0805115510760035</v>
      </c>
      <c r="J8" s="2">
        <f t="shared" si="1"/>
        <v>1816.7320821745866</v>
      </c>
      <c r="K8" s="2">
        <f t="shared" si="2"/>
        <v>1688.4669293056515</v>
      </c>
      <c r="L8" s="2">
        <f t="shared" si="3"/>
        <v>1824.4080207245863</v>
      </c>
      <c r="P8" t="s">
        <v>20</v>
      </c>
      <c r="Q8" s="4">
        <f t="shared" si="4"/>
        <v>1.0805115510760035</v>
      </c>
    </row>
    <row r="9" spans="1:20" x14ac:dyDescent="0.35">
      <c r="A9">
        <v>8</v>
      </c>
      <c r="C9" t="s">
        <v>21</v>
      </c>
      <c r="D9" s="3">
        <v>43343</v>
      </c>
      <c r="E9" s="2">
        <v>1947</v>
      </c>
      <c r="F9" s="5">
        <f t="shared" si="5"/>
        <v>1783.75</v>
      </c>
      <c r="G9" s="5">
        <f t="shared" si="6"/>
        <v>1860.125</v>
      </c>
      <c r="H9" s="4">
        <f t="shared" si="7"/>
        <v>1.0467038505476782</v>
      </c>
      <c r="I9" s="4">
        <f t="shared" si="0"/>
        <v>0.57579947772139151</v>
      </c>
      <c r="J9" s="2">
        <f t="shared" si="1"/>
        <v>3381.3854915340557</v>
      </c>
      <c r="K9" s="2">
        <f t="shared" si="2"/>
        <v>1707.2811703787236</v>
      </c>
      <c r="L9" s="2">
        <f t="shared" si="3"/>
        <v>983.05160622763503</v>
      </c>
      <c r="P9" t="s">
        <v>21</v>
      </c>
      <c r="Q9" s="4">
        <f t="shared" si="4"/>
        <v>0.57579947772139151</v>
      </c>
    </row>
    <row r="10" spans="1:20" x14ac:dyDescent="0.35">
      <c r="A10">
        <v>9</v>
      </c>
      <c r="C10" t="s">
        <v>22</v>
      </c>
      <c r="D10" s="3">
        <v>43373</v>
      </c>
      <c r="E10" s="2">
        <v>2079</v>
      </c>
      <c r="F10" s="5">
        <f t="shared" si="5"/>
        <v>1936.5</v>
      </c>
      <c r="G10" s="5">
        <f t="shared" si="6"/>
        <v>1862.25</v>
      </c>
      <c r="H10" s="4">
        <f t="shared" si="7"/>
        <v>1.1163914619412001</v>
      </c>
      <c r="I10" s="4">
        <f t="shared" si="0"/>
        <v>1.1651506750286587</v>
      </c>
      <c r="J10" s="2">
        <f t="shared" si="1"/>
        <v>1784.3185817567019</v>
      </c>
      <c r="K10" s="2">
        <f t="shared" si="2"/>
        <v>1726.0954114517954</v>
      </c>
      <c r="L10" s="2">
        <f t="shared" si="3"/>
        <v>2011.1612338169298</v>
      </c>
      <c r="P10" t="s">
        <v>22</v>
      </c>
      <c r="Q10" s="4">
        <f t="shared" si="4"/>
        <v>1.1651506750286587</v>
      </c>
    </row>
    <row r="11" spans="1:20" x14ac:dyDescent="0.35">
      <c r="A11">
        <v>10</v>
      </c>
      <c r="C11" t="s">
        <v>23</v>
      </c>
      <c r="D11" s="3">
        <v>43404</v>
      </c>
      <c r="E11" s="2">
        <v>1757</v>
      </c>
      <c r="F11" s="5">
        <f t="shared" si="5"/>
        <v>1788</v>
      </c>
      <c r="G11" s="5">
        <f t="shared" si="6"/>
        <v>1718.625</v>
      </c>
      <c r="H11" s="4">
        <f t="shared" si="7"/>
        <v>1.022328896647029</v>
      </c>
      <c r="I11" s="4">
        <f t="shared" si="0"/>
        <v>1.1866143197888102</v>
      </c>
      <c r="J11" s="2">
        <f t="shared" si="1"/>
        <v>1480.6832942254609</v>
      </c>
      <c r="K11" s="2">
        <f t="shared" si="2"/>
        <v>1744.9096525248674</v>
      </c>
      <c r="L11" s="2">
        <f t="shared" si="3"/>
        <v>2070.5347804237244</v>
      </c>
      <c r="P11" t="s">
        <v>23</v>
      </c>
      <c r="Q11" s="4">
        <f t="shared" si="4"/>
        <v>1.1866143197888102</v>
      </c>
    </row>
    <row r="12" spans="1:20" x14ac:dyDescent="0.35">
      <c r="A12">
        <v>11</v>
      </c>
      <c r="C12" t="s">
        <v>24</v>
      </c>
      <c r="D12" s="3">
        <v>43434</v>
      </c>
      <c r="E12" s="2">
        <v>1369</v>
      </c>
      <c r="F12" s="5">
        <f t="shared" si="5"/>
        <v>1649.25</v>
      </c>
      <c r="G12" s="5">
        <f t="shared" si="6"/>
        <v>1600.25</v>
      </c>
      <c r="H12" s="4">
        <f t="shared" si="7"/>
        <v>0.8554913294797688</v>
      </c>
      <c r="I12" s="4">
        <f t="shared" si="0"/>
        <v>1.0993874557846606</v>
      </c>
      <c r="J12" s="2">
        <f t="shared" si="1"/>
        <v>1245.238876245782</v>
      </c>
      <c r="K12" s="2">
        <f t="shared" si="2"/>
        <v>1763.7238935979394</v>
      </c>
      <c r="L12" s="2">
        <f t="shared" si="3"/>
        <v>1939.015924089254</v>
      </c>
      <c r="P12" t="s">
        <v>24</v>
      </c>
      <c r="Q12" s="4">
        <f t="shared" si="4"/>
        <v>1.0993874557846606</v>
      </c>
    </row>
    <row r="13" spans="1:20" x14ac:dyDescent="0.35">
      <c r="A13">
        <v>12</v>
      </c>
      <c r="C13" t="s">
        <v>25</v>
      </c>
      <c r="D13" s="3">
        <v>43465</v>
      </c>
      <c r="E13" s="2">
        <v>1392</v>
      </c>
      <c r="F13" s="5">
        <f t="shared" si="5"/>
        <v>1551.25</v>
      </c>
      <c r="G13" s="5">
        <f t="shared" si="6"/>
        <v>1527.875</v>
      </c>
      <c r="H13" s="4">
        <f t="shared" si="7"/>
        <v>0.9110692955902806</v>
      </c>
      <c r="I13" s="4">
        <f t="shared" si="0"/>
        <v>0.73341896576606513</v>
      </c>
      <c r="J13" s="2">
        <f t="shared" si="1"/>
        <v>1897.9601905249872</v>
      </c>
      <c r="K13" s="2">
        <f t="shared" si="2"/>
        <v>1782.5381346710112</v>
      </c>
      <c r="L13" s="2">
        <f t="shared" si="3"/>
        <v>1307.347275168984</v>
      </c>
      <c r="P13" t="s">
        <v>25</v>
      </c>
      <c r="Q13" s="4">
        <f t="shared" si="4"/>
        <v>0.73341896576606513</v>
      </c>
    </row>
    <row r="14" spans="1:20" x14ac:dyDescent="0.35">
      <c r="A14">
        <v>13</v>
      </c>
      <c r="B14">
        <v>2019</v>
      </c>
      <c r="C14" t="s">
        <v>13</v>
      </c>
      <c r="D14" s="3">
        <v>43496</v>
      </c>
      <c r="E14" s="2">
        <v>1687</v>
      </c>
      <c r="F14" s="5">
        <f t="shared" si="5"/>
        <v>1504.5</v>
      </c>
      <c r="G14" s="5">
        <f t="shared" si="6"/>
        <v>1549.625</v>
      </c>
      <c r="H14" s="4">
        <f t="shared" si="7"/>
        <v>1.0886504799548278</v>
      </c>
      <c r="I14" s="4">
        <f t="shared" si="0"/>
        <v>0.72510793499805237</v>
      </c>
      <c r="J14" s="2">
        <f t="shared" si="1"/>
        <v>2326.5501845660137</v>
      </c>
      <c r="K14" s="2">
        <f t="shared" si="2"/>
        <v>1801.3523757440832</v>
      </c>
      <c r="L14" s="2">
        <f t="shared" si="3"/>
        <v>1306.174901379628</v>
      </c>
    </row>
    <row r="15" spans="1:20" x14ac:dyDescent="0.35">
      <c r="A15">
        <v>14</v>
      </c>
      <c r="C15" t="s">
        <v>15</v>
      </c>
      <c r="D15" s="3">
        <v>43524</v>
      </c>
      <c r="E15" s="2">
        <v>1570</v>
      </c>
      <c r="F15" s="5">
        <f t="shared" si="5"/>
        <v>1594.75</v>
      </c>
      <c r="G15" s="5">
        <f t="shared" si="6"/>
        <v>1661.625</v>
      </c>
      <c r="H15" s="4">
        <f t="shared" si="7"/>
        <v>0.94485819604303012</v>
      </c>
      <c r="I15" s="4">
        <f t="shared" si="0"/>
        <v>0.96463098921640644</v>
      </c>
      <c r="J15" s="2">
        <f t="shared" si="1"/>
        <v>1627.5653773836871</v>
      </c>
      <c r="K15" s="2">
        <f t="shared" si="2"/>
        <v>1820.166616817155</v>
      </c>
      <c r="L15" s="2">
        <f t="shared" si="3"/>
        <v>1755.7891241190121</v>
      </c>
    </row>
    <row r="16" spans="1:20" x14ac:dyDescent="0.35">
      <c r="A16">
        <v>15</v>
      </c>
      <c r="C16" t="s">
        <v>16</v>
      </c>
      <c r="D16" s="3">
        <v>43555</v>
      </c>
      <c r="E16" s="2">
        <v>1730</v>
      </c>
      <c r="F16" s="5">
        <f t="shared" si="5"/>
        <v>1728.5</v>
      </c>
      <c r="G16" s="5">
        <f t="shared" si="6"/>
        <v>1822</v>
      </c>
      <c r="H16" s="4">
        <f t="shared" si="7"/>
        <v>0.94950603732162464</v>
      </c>
      <c r="I16" s="4">
        <f t="shared" si="0"/>
        <v>1.2254997117968642</v>
      </c>
      <c r="J16" s="2">
        <f t="shared" si="1"/>
        <v>1411.669038635205</v>
      </c>
      <c r="K16" s="2">
        <f t="shared" si="2"/>
        <v>1838.9808578902271</v>
      </c>
      <c r="L16" s="2">
        <f t="shared" si="3"/>
        <v>2253.6705113444236</v>
      </c>
    </row>
    <row r="17" spans="1:12" x14ac:dyDescent="0.35">
      <c r="A17">
        <v>16</v>
      </c>
      <c r="C17" t="s">
        <v>17</v>
      </c>
      <c r="D17" s="3">
        <v>43585</v>
      </c>
      <c r="E17" s="2">
        <v>1927</v>
      </c>
      <c r="F17" s="5">
        <f t="shared" si="5"/>
        <v>1915.5</v>
      </c>
      <c r="G17" s="5">
        <f t="shared" si="6"/>
        <v>2056.625</v>
      </c>
      <c r="H17" s="4">
        <f t="shared" si="7"/>
        <v>0.93697198079377619</v>
      </c>
      <c r="I17" s="4">
        <f t="shared" si="0"/>
        <v>1.0291245069007828</v>
      </c>
      <c r="J17" s="2">
        <f t="shared" si="1"/>
        <v>1872.4653694266565</v>
      </c>
      <c r="K17" s="2">
        <f t="shared" si="2"/>
        <v>1857.7950989632991</v>
      </c>
      <c r="L17" s="2">
        <f t="shared" si="3"/>
        <v>1911.9024651432962</v>
      </c>
    </row>
    <row r="18" spans="1:12" x14ac:dyDescent="0.35">
      <c r="A18">
        <v>17</v>
      </c>
      <c r="C18" t="s">
        <v>18</v>
      </c>
      <c r="D18" s="3">
        <v>43616</v>
      </c>
      <c r="E18" s="2">
        <v>2435</v>
      </c>
      <c r="F18" s="5">
        <f t="shared" si="5"/>
        <v>2197.75</v>
      </c>
      <c r="G18" s="5">
        <f t="shared" si="6"/>
        <v>2207.25</v>
      </c>
      <c r="H18" s="4">
        <f t="shared" si="7"/>
        <v>1.1031826933967608</v>
      </c>
      <c r="I18" s="4">
        <f t="shared" si="0"/>
        <v>0.90701694922409304</v>
      </c>
      <c r="J18" s="2">
        <f t="shared" si="1"/>
        <v>2684.6245840091728</v>
      </c>
      <c r="K18" s="2">
        <f t="shared" si="2"/>
        <v>1876.6093400363709</v>
      </c>
      <c r="L18" s="2">
        <f t="shared" si="3"/>
        <v>1702.1164784852278</v>
      </c>
    </row>
    <row r="19" spans="1:12" x14ac:dyDescent="0.35">
      <c r="A19">
        <v>18</v>
      </c>
      <c r="C19" t="s">
        <v>19</v>
      </c>
      <c r="D19" s="3">
        <v>43646</v>
      </c>
      <c r="E19" s="2">
        <v>2699</v>
      </c>
      <c r="F19" s="5">
        <f t="shared" si="5"/>
        <v>2216.75</v>
      </c>
      <c r="G19" s="5">
        <f t="shared" si="6"/>
        <v>2000.25</v>
      </c>
      <c r="H19" s="4">
        <f t="shared" si="7"/>
        <v>1.3493313335833022</v>
      </c>
      <c r="I19" s="4">
        <f t="shared" si="0"/>
        <v>1.0640177806062932</v>
      </c>
      <c r="J19" s="2">
        <f t="shared" si="1"/>
        <v>2536.6117457755918</v>
      </c>
      <c r="K19" s="2">
        <f t="shared" si="2"/>
        <v>1895.4235811094429</v>
      </c>
      <c r="L19" s="2">
        <f t="shared" si="3"/>
        <v>2016.7643920809016</v>
      </c>
    </row>
    <row r="20" spans="1:12" x14ac:dyDescent="0.35">
      <c r="A20">
        <v>19</v>
      </c>
      <c r="C20" t="s">
        <v>20</v>
      </c>
      <c r="D20" s="3">
        <v>43677</v>
      </c>
      <c r="E20" s="2">
        <v>1806</v>
      </c>
      <c r="F20" s="5">
        <f t="shared" si="5"/>
        <v>1783.75</v>
      </c>
      <c r="G20" s="5">
        <f t="shared" si="6"/>
        <v>1793</v>
      </c>
      <c r="H20" s="4">
        <f t="shared" si="7"/>
        <v>1.007250418293363</v>
      </c>
      <c r="I20" s="4">
        <f t="shared" si="0"/>
        <v>1.0805115510760035</v>
      </c>
      <c r="J20" s="2">
        <f t="shared" si="1"/>
        <v>1671.4305351030582</v>
      </c>
      <c r="K20" s="2">
        <f t="shared" si="2"/>
        <v>1914.2378221825147</v>
      </c>
      <c r="L20" s="2">
        <f t="shared" si="3"/>
        <v>2068.3560783747798</v>
      </c>
    </row>
    <row r="21" spans="1:12" x14ac:dyDescent="0.35">
      <c r="A21">
        <v>20</v>
      </c>
      <c r="C21" t="s">
        <v>21</v>
      </c>
      <c r="D21" s="3">
        <v>43708</v>
      </c>
      <c r="E21" s="2">
        <v>195</v>
      </c>
      <c r="F21" s="5">
        <f t="shared" si="5"/>
        <v>1802.25</v>
      </c>
      <c r="G21" s="5">
        <f t="shared" si="6"/>
        <v>1859</v>
      </c>
      <c r="H21" s="4">
        <f t="shared" si="7"/>
        <v>0.1048951048951049</v>
      </c>
      <c r="I21" s="4">
        <f t="shared" si="0"/>
        <v>0.57579947772139151</v>
      </c>
      <c r="J21" s="2">
        <f t="shared" si="1"/>
        <v>338.65956386704721</v>
      </c>
      <c r="K21" s="2">
        <f t="shared" si="2"/>
        <v>1933.0520632555867</v>
      </c>
      <c r="L21" s="2">
        <f t="shared" si="3"/>
        <v>1113.0503684308251</v>
      </c>
    </row>
    <row r="22" spans="1:12" x14ac:dyDescent="0.35">
      <c r="A22">
        <v>21</v>
      </c>
      <c r="C22" t="s">
        <v>22</v>
      </c>
      <c r="D22" s="3">
        <v>43738</v>
      </c>
      <c r="E22" s="2">
        <v>2509</v>
      </c>
      <c r="F22" s="5">
        <f t="shared" si="5"/>
        <v>1915.75</v>
      </c>
      <c r="G22" s="5">
        <f t="shared" si="6"/>
        <v>2066.875</v>
      </c>
      <c r="H22" s="4">
        <f t="shared" si="7"/>
        <v>1.2139098881161172</v>
      </c>
      <c r="I22" s="4">
        <f t="shared" si="0"/>
        <v>1.1651506750286587</v>
      </c>
      <c r="J22" s="2">
        <f t="shared" si="1"/>
        <v>2153.3695630724219</v>
      </c>
      <c r="K22" s="2">
        <f t="shared" si="2"/>
        <v>1951.8663043286588</v>
      </c>
      <c r="L22" s="2">
        <f t="shared" si="3"/>
        <v>2274.2183420542301</v>
      </c>
    </row>
    <row r="23" spans="1:12" x14ac:dyDescent="0.35">
      <c r="A23">
        <v>22</v>
      </c>
      <c r="C23" t="s">
        <v>23</v>
      </c>
      <c r="D23" s="3">
        <v>43769</v>
      </c>
      <c r="E23" s="2">
        <v>3153</v>
      </c>
      <c r="F23" s="5">
        <f t="shared" si="5"/>
        <v>2218</v>
      </c>
      <c r="G23" s="5">
        <f t="shared" si="6"/>
        <v>2334</v>
      </c>
      <c r="H23" s="4">
        <f t="shared" si="7"/>
        <v>1.3508997429305913</v>
      </c>
      <c r="I23" s="4">
        <f t="shared" si="0"/>
        <v>1.1866143197888102</v>
      </c>
      <c r="J23" s="2">
        <f t="shared" si="1"/>
        <v>2657.1396850841652</v>
      </c>
      <c r="K23" s="2">
        <f t="shared" si="2"/>
        <v>1970.6805454017306</v>
      </c>
      <c r="L23" s="2">
        <f t="shared" si="3"/>
        <v>2338.4377549029159</v>
      </c>
    </row>
    <row r="24" spans="1:12" x14ac:dyDescent="0.35">
      <c r="A24">
        <v>23</v>
      </c>
      <c r="C24" t="s">
        <v>24</v>
      </c>
      <c r="D24" s="3">
        <v>43799</v>
      </c>
      <c r="E24" s="2">
        <v>3015</v>
      </c>
      <c r="F24" s="5">
        <f t="shared" si="5"/>
        <v>2450</v>
      </c>
      <c r="G24" s="5">
        <f t="shared" si="6"/>
        <v>2244.5</v>
      </c>
      <c r="H24" s="4">
        <f t="shared" si="7"/>
        <v>1.3432835820895523</v>
      </c>
      <c r="I24" s="4">
        <f t="shared" si="0"/>
        <v>1.0993874557846606</v>
      </c>
      <c r="J24" s="2">
        <f t="shared" si="1"/>
        <v>2742.4362395040412</v>
      </c>
      <c r="K24" s="2">
        <f t="shared" si="2"/>
        <v>1989.4947864748026</v>
      </c>
      <c r="L24" s="2">
        <f t="shared" si="3"/>
        <v>2187.2256115993796</v>
      </c>
    </row>
    <row r="25" spans="1:12" x14ac:dyDescent="0.35">
      <c r="A25">
        <v>24</v>
      </c>
      <c r="C25" t="s">
        <v>25</v>
      </c>
      <c r="D25" s="3">
        <v>43830</v>
      </c>
      <c r="E25" s="2">
        <v>1123</v>
      </c>
      <c r="F25" s="5">
        <f t="shared" si="5"/>
        <v>2039</v>
      </c>
      <c r="G25" s="5">
        <f t="shared" si="6"/>
        <v>2020.625</v>
      </c>
      <c r="H25" s="4">
        <f t="shared" si="7"/>
        <v>0.55576863594184966</v>
      </c>
      <c r="I25" s="4">
        <f t="shared" si="0"/>
        <v>0.73341896576606513</v>
      </c>
      <c r="J25" s="2">
        <f t="shared" si="1"/>
        <v>1531.1848376146268</v>
      </c>
      <c r="K25" s="2">
        <f t="shared" si="2"/>
        <v>2008.3090275478744</v>
      </c>
      <c r="L25" s="2">
        <f t="shared" si="3"/>
        <v>1472.9319299228141</v>
      </c>
    </row>
    <row r="26" spans="1:12" x14ac:dyDescent="0.35">
      <c r="A26">
        <v>25</v>
      </c>
      <c r="B26">
        <v>2020</v>
      </c>
      <c r="C26" t="s">
        <v>13</v>
      </c>
      <c r="D26" s="3">
        <v>43861</v>
      </c>
      <c r="E26" s="2">
        <v>865</v>
      </c>
      <c r="F26" s="5">
        <f t="shared" si="5"/>
        <v>2002.25</v>
      </c>
      <c r="G26" s="5">
        <f t="shared" si="6"/>
        <v>2392.375</v>
      </c>
      <c r="H26" s="4">
        <f t="shared" si="7"/>
        <v>0.36156539004127697</v>
      </c>
      <c r="I26" s="4">
        <f t="shared" si="0"/>
        <v>0.72510793499805237</v>
      </c>
      <c r="J26" s="2">
        <f t="shared" si="1"/>
        <v>1192.9258504147019</v>
      </c>
      <c r="K26" s="2">
        <f t="shared" si="2"/>
        <v>2027.1232686209464</v>
      </c>
      <c r="L26" s="2">
        <f t="shared" si="3"/>
        <v>1469.8831672962367</v>
      </c>
    </row>
    <row r="27" spans="1:12" x14ac:dyDescent="0.35">
      <c r="A27">
        <v>26</v>
      </c>
      <c r="C27" t="s">
        <v>15</v>
      </c>
      <c r="D27" s="3">
        <v>43890</v>
      </c>
      <c r="E27" s="2">
        <v>3006</v>
      </c>
      <c r="F27" s="5">
        <f t="shared" si="5"/>
        <v>2782.5</v>
      </c>
      <c r="G27" s="5">
        <f t="shared" si="6"/>
        <v>3053.625</v>
      </c>
      <c r="H27" s="4">
        <f t="shared" si="7"/>
        <v>0.98440378238978266</v>
      </c>
      <c r="I27" s="4">
        <f t="shared" si="0"/>
        <v>0.96463098921640644</v>
      </c>
      <c r="J27" s="2">
        <f t="shared" si="1"/>
        <v>3116.2175314747537</v>
      </c>
      <c r="K27" s="2">
        <f t="shared" si="2"/>
        <v>2045.9375096940184</v>
      </c>
      <c r="L27" s="2">
        <f t="shared" si="3"/>
        <v>1973.5747238510921</v>
      </c>
    </row>
    <row r="28" spans="1:12" x14ac:dyDescent="0.35">
      <c r="A28">
        <v>27</v>
      </c>
      <c r="C28" t="s">
        <v>16</v>
      </c>
      <c r="D28" s="3">
        <v>43921</v>
      </c>
      <c r="E28" s="2">
        <v>6136</v>
      </c>
      <c r="F28" s="5">
        <f t="shared" si="5"/>
        <v>3324.75</v>
      </c>
      <c r="G28" s="5">
        <f t="shared" si="6"/>
        <v>3395.25</v>
      </c>
      <c r="H28" s="4">
        <f t="shared" si="7"/>
        <v>1.8072306899344672</v>
      </c>
      <c r="I28" s="4">
        <f t="shared" si="0"/>
        <v>1.2254997117968642</v>
      </c>
      <c r="J28" s="2">
        <f t="shared" si="1"/>
        <v>5006.9371220032472</v>
      </c>
      <c r="K28" s="2">
        <f t="shared" si="2"/>
        <v>2064.75175076709</v>
      </c>
      <c r="L28" s="2">
        <f t="shared" si="3"/>
        <v>2530.3526754971394</v>
      </c>
    </row>
    <row r="29" spans="1:12" x14ac:dyDescent="0.35">
      <c r="A29">
        <v>28</v>
      </c>
      <c r="C29" t="s">
        <v>17</v>
      </c>
      <c r="D29" s="3">
        <v>43951</v>
      </c>
      <c r="E29" s="2">
        <v>3292</v>
      </c>
      <c r="F29" s="5">
        <f t="shared" si="5"/>
        <v>3465.75</v>
      </c>
      <c r="G29" s="5">
        <f t="shared" si="6"/>
        <v>3273.875</v>
      </c>
      <c r="H29" s="4">
        <f t="shared" si="7"/>
        <v>1.0055362529113054</v>
      </c>
      <c r="I29" s="4">
        <f t="shared" si="0"/>
        <v>1.0291245069007828</v>
      </c>
      <c r="J29" s="2">
        <f t="shared" si="1"/>
        <v>3198.835493592399</v>
      </c>
      <c r="K29" s="2">
        <f t="shared" si="2"/>
        <v>2083.565991840162</v>
      </c>
      <c r="L29" s="2">
        <f t="shared" si="3"/>
        <v>2144.248823947747</v>
      </c>
    </row>
    <row r="30" spans="1:12" x14ac:dyDescent="0.35">
      <c r="A30">
        <v>29</v>
      </c>
      <c r="C30" t="s">
        <v>18</v>
      </c>
      <c r="D30" s="3">
        <v>43982</v>
      </c>
      <c r="E30" s="2">
        <v>1429</v>
      </c>
      <c r="F30" s="5">
        <f t="shared" si="5"/>
        <v>3082</v>
      </c>
      <c r="G30" s="5">
        <f t="shared" si="6"/>
        <v>2378.625</v>
      </c>
      <c r="H30" s="4">
        <f t="shared" si="7"/>
        <v>0.60076724998686215</v>
      </c>
      <c r="I30" s="4">
        <f t="shared" si="0"/>
        <v>0.90701694922409304</v>
      </c>
      <c r="J30" s="2">
        <f t="shared" si="1"/>
        <v>1575.494263059182</v>
      </c>
      <c r="K30" s="2">
        <f t="shared" si="2"/>
        <v>2102.3802329132341</v>
      </c>
      <c r="L30" s="2">
        <f t="shared" si="3"/>
        <v>1906.8945049659997</v>
      </c>
    </row>
    <row r="31" spans="1:12" x14ac:dyDescent="0.35">
      <c r="A31">
        <v>30</v>
      </c>
      <c r="C31" t="s">
        <v>19</v>
      </c>
      <c r="D31" s="3">
        <v>44012</v>
      </c>
      <c r="E31" s="2">
        <v>1471</v>
      </c>
      <c r="F31" s="5">
        <f t="shared" si="5"/>
        <v>1675.25</v>
      </c>
      <c r="G31" s="5">
        <f t="shared" si="6"/>
        <v>1328.125</v>
      </c>
      <c r="H31" s="4">
        <f t="shared" si="7"/>
        <v>1.1075764705882354</v>
      </c>
      <c r="I31" s="4">
        <f t="shared" si="0"/>
        <v>1.0640177806062932</v>
      </c>
      <c r="J31" s="2">
        <f t="shared" si="1"/>
        <v>1382.4956939740259</v>
      </c>
      <c r="K31" s="2">
        <f t="shared" si="2"/>
        <v>2121.1944739863061</v>
      </c>
      <c r="L31" s="2">
        <f t="shared" si="3"/>
        <v>2256.9886364452427</v>
      </c>
    </row>
    <row r="32" spans="1:12" x14ac:dyDescent="0.35">
      <c r="A32">
        <v>31</v>
      </c>
      <c r="C32" t="s">
        <v>20</v>
      </c>
      <c r="D32" s="3">
        <v>44043</v>
      </c>
      <c r="E32" s="5">
        <v>509</v>
      </c>
      <c r="F32" s="5">
        <f t="shared" si="5"/>
        <v>981</v>
      </c>
      <c r="G32" s="5"/>
      <c r="H32" s="4"/>
      <c r="I32" s="4">
        <f t="shared" si="0"/>
        <v>1.0805115510760035</v>
      </c>
      <c r="J32" s="2">
        <f t="shared" si="1"/>
        <v>471.07316853126059</v>
      </c>
      <c r="K32" s="2">
        <f t="shared" si="2"/>
        <v>2140.0087150593781</v>
      </c>
      <c r="L32" s="2">
        <f t="shared" si="3"/>
        <v>2312.304136024974</v>
      </c>
    </row>
    <row r="33" spans="1:12" x14ac:dyDescent="0.35">
      <c r="A33">
        <v>32</v>
      </c>
      <c r="C33" t="s">
        <v>21</v>
      </c>
      <c r="D33" s="3">
        <v>44074</v>
      </c>
      <c r="E33" s="5">
        <v>515</v>
      </c>
      <c r="F33" s="5"/>
      <c r="I33" s="4">
        <f t="shared" si="0"/>
        <v>0.57579947772139151</v>
      </c>
      <c r="J33" s="2">
        <f t="shared" si="1"/>
        <v>894.40859175143237</v>
      </c>
      <c r="K33" s="2">
        <f t="shared" si="2"/>
        <v>2158.8229561324497</v>
      </c>
      <c r="L33" s="2">
        <f t="shared" si="3"/>
        <v>1243.049130634015</v>
      </c>
    </row>
    <row r="34" spans="1:12" x14ac:dyDescent="0.35">
      <c r="A34" s="8">
        <v>33</v>
      </c>
      <c r="B34" s="8"/>
      <c r="C34" s="8" t="s">
        <v>22</v>
      </c>
      <c r="D34" s="9">
        <v>44104</v>
      </c>
      <c r="E34" s="14"/>
      <c r="F34" s="14"/>
      <c r="G34" s="8"/>
      <c r="H34" s="8"/>
      <c r="I34" s="10">
        <f t="shared" si="0"/>
        <v>1.1651506750286587</v>
      </c>
      <c r="J34" s="15"/>
      <c r="K34" s="15">
        <f t="shared" si="2"/>
        <v>2177.6371972055217</v>
      </c>
      <c r="L34" s="15">
        <f t="shared" si="3"/>
        <v>2537.27545029153</v>
      </c>
    </row>
    <row r="35" spans="1:12" x14ac:dyDescent="0.35">
      <c r="A35" s="8">
        <v>34</v>
      </c>
      <c r="B35" s="8"/>
      <c r="C35" s="8" t="s">
        <v>23</v>
      </c>
      <c r="D35" s="9">
        <v>44135</v>
      </c>
      <c r="E35" s="8"/>
      <c r="F35" s="8"/>
      <c r="G35" s="8"/>
      <c r="H35" s="8"/>
      <c r="I35" s="10">
        <f t="shared" si="0"/>
        <v>1.1866143197888102</v>
      </c>
      <c r="J35" s="8"/>
      <c r="K35" s="15">
        <f t="shared" si="2"/>
        <v>2196.4514382785937</v>
      </c>
      <c r="L35" s="15">
        <f t="shared" si="3"/>
        <v>2606.3407293821074</v>
      </c>
    </row>
    <row r="36" spans="1:12" x14ac:dyDescent="0.35">
      <c r="A36" s="8">
        <v>35</v>
      </c>
      <c r="B36" s="8"/>
      <c r="C36" s="8" t="s">
        <v>24</v>
      </c>
      <c r="D36" s="9">
        <v>44165</v>
      </c>
      <c r="E36" s="8"/>
      <c r="F36" s="8"/>
      <c r="G36" s="8"/>
      <c r="H36" s="8"/>
      <c r="I36" s="10">
        <f t="shared" si="0"/>
        <v>1.0993874557846606</v>
      </c>
      <c r="J36" s="8"/>
      <c r="K36" s="15">
        <f t="shared" si="2"/>
        <v>2215.2656793516658</v>
      </c>
      <c r="L36" s="15">
        <f t="shared" si="3"/>
        <v>2435.4352991095056</v>
      </c>
    </row>
    <row r="37" spans="1:12" x14ac:dyDescent="0.35">
      <c r="A37" s="8">
        <v>36</v>
      </c>
      <c r="B37" s="8"/>
      <c r="C37" s="8" t="s">
        <v>25</v>
      </c>
      <c r="D37" s="9">
        <v>44196</v>
      </c>
      <c r="E37" s="8"/>
      <c r="F37" s="8"/>
      <c r="G37" s="8"/>
      <c r="H37" s="8"/>
      <c r="I37" s="10">
        <f t="shared" si="0"/>
        <v>0.73341896576606513</v>
      </c>
      <c r="J37" s="8"/>
      <c r="K37" s="15">
        <f t="shared" si="2"/>
        <v>2234.0799204247378</v>
      </c>
      <c r="L37" s="15">
        <f t="shared" si="3"/>
        <v>1638.5165846766442</v>
      </c>
    </row>
    <row r="38" spans="1:12" x14ac:dyDescent="0.35">
      <c r="A38" s="8">
        <v>37</v>
      </c>
      <c r="B38" s="8">
        <v>2021</v>
      </c>
      <c r="C38" s="8" t="s">
        <v>13</v>
      </c>
      <c r="D38" s="9">
        <v>44227</v>
      </c>
      <c r="E38" s="8"/>
      <c r="F38" s="8"/>
      <c r="G38" s="8"/>
      <c r="H38" s="8"/>
      <c r="I38" s="10">
        <f t="shared" si="0"/>
        <v>0.72510793499805237</v>
      </c>
      <c r="J38" s="8"/>
      <c r="K38" s="15">
        <f t="shared" si="2"/>
        <v>2252.8941614978094</v>
      </c>
      <c r="L38" s="15">
        <f t="shared" si="3"/>
        <v>1633.5914332128452</v>
      </c>
    </row>
    <row r="39" spans="1:12" x14ac:dyDescent="0.35">
      <c r="A39">
        <v>38</v>
      </c>
      <c r="C39" t="s">
        <v>15</v>
      </c>
      <c r="D39" s="3">
        <v>44255</v>
      </c>
    </row>
    <row r="40" spans="1:12" x14ac:dyDescent="0.35">
      <c r="A40">
        <v>39</v>
      </c>
      <c r="C40" t="s">
        <v>16</v>
      </c>
      <c r="D40" s="3">
        <v>44286</v>
      </c>
    </row>
    <row r="41" spans="1:12" x14ac:dyDescent="0.35">
      <c r="A41">
        <v>40</v>
      </c>
      <c r="C41" t="s">
        <v>17</v>
      </c>
      <c r="D41" s="3">
        <v>44316</v>
      </c>
    </row>
    <row r="42" spans="1:12" x14ac:dyDescent="0.35">
      <c r="A42">
        <v>41</v>
      </c>
      <c r="C42" t="s">
        <v>18</v>
      </c>
      <c r="D42" s="3">
        <v>44347</v>
      </c>
    </row>
    <row r="43" spans="1:12" x14ac:dyDescent="0.35">
      <c r="A43">
        <v>42</v>
      </c>
      <c r="C43" t="s">
        <v>19</v>
      </c>
      <c r="D43" s="3">
        <v>44377</v>
      </c>
    </row>
    <row r="44" spans="1:12" x14ac:dyDescent="0.35">
      <c r="A44">
        <v>43</v>
      </c>
      <c r="C44" t="s">
        <v>20</v>
      </c>
      <c r="D44" s="3">
        <v>44408</v>
      </c>
    </row>
    <row r="45" spans="1:12" x14ac:dyDescent="0.35">
      <c r="A45">
        <v>44</v>
      </c>
      <c r="C45" t="s">
        <v>21</v>
      </c>
      <c r="D45" s="3">
        <v>44439</v>
      </c>
    </row>
    <row r="46" spans="1:12" x14ac:dyDescent="0.35">
      <c r="A46">
        <v>45</v>
      </c>
      <c r="C46" t="s">
        <v>22</v>
      </c>
      <c r="D46" s="3">
        <v>44469</v>
      </c>
    </row>
    <row r="47" spans="1:12" x14ac:dyDescent="0.35">
      <c r="A47">
        <v>46</v>
      </c>
      <c r="C47" t="s">
        <v>23</v>
      </c>
      <c r="D47" s="3">
        <v>44500</v>
      </c>
    </row>
    <row r="48" spans="1:12" x14ac:dyDescent="0.35">
      <c r="A48">
        <v>47</v>
      </c>
      <c r="C48" t="s">
        <v>24</v>
      </c>
      <c r="D48" s="3">
        <v>44530</v>
      </c>
    </row>
    <row r="49" spans="1:4" x14ac:dyDescent="0.35">
      <c r="A49">
        <v>48</v>
      </c>
      <c r="C49" t="s">
        <v>25</v>
      </c>
      <c r="D49" s="3">
        <v>44561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15" sqref="K1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9"/>
  <sheetViews>
    <sheetView workbookViewId="0">
      <selection activeCell="K15" sqref="K15"/>
    </sheetView>
  </sheetViews>
  <sheetFormatPr defaultRowHeight="14.5" x14ac:dyDescent="0.35"/>
  <cols>
    <col min="1" max="1" width="4.81640625" customWidth="1"/>
    <col min="3" max="3" width="9.81640625" bestFit="1" customWidth="1"/>
    <col min="4" max="4" width="10.54296875" bestFit="1" customWidth="1"/>
    <col min="10" max="10" width="12.54296875" bestFit="1" customWidth="1"/>
    <col min="11" max="12" width="9.08984375" bestFit="1" customWidth="1"/>
    <col min="16" max="16" width="9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2</v>
      </c>
      <c r="Q1" t="s">
        <v>8</v>
      </c>
      <c r="S1" t="s">
        <v>12</v>
      </c>
      <c r="T1" s="13">
        <f>INTERCEPT(J2:J33,A2:A33)</f>
        <v>861.63809455221576</v>
      </c>
    </row>
    <row r="2" spans="1:20" x14ac:dyDescent="0.35">
      <c r="A2">
        <v>1</v>
      </c>
      <c r="B2">
        <v>2018</v>
      </c>
      <c r="C2" t="s">
        <v>13</v>
      </c>
      <c r="D2" s="3">
        <v>43131</v>
      </c>
      <c r="E2" s="2">
        <v>823</v>
      </c>
      <c r="I2" s="4">
        <f>VLOOKUP(C2,$P$1:$Q$13,2,0)</f>
        <v>1.0577409513439622</v>
      </c>
      <c r="J2" s="2">
        <f>E2/I2</f>
        <v>778.07330703637683</v>
      </c>
      <c r="K2" s="2">
        <f>$T$1+$T$2*A2</f>
        <v>901.3692797391144</v>
      </c>
      <c r="L2" s="2">
        <f>I2*K2</f>
        <v>953.41519946347285</v>
      </c>
      <c r="P2" t="s">
        <v>13</v>
      </c>
      <c r="Q2" s="4">
        <f>AVERAGEIF($C$4:$C$31,P2,$H$4:$H$31)</f>
        <v>1.0577409513439622</v>
      </c>
      <c r="S2" t="s">
        <v>14</v>
      </c>
      <c r="T2" s="13">
        <f>SLOPE(J2:J33,A2:A33)</f>
        <v>39.731185186898692</v>
      </c>
    </row>
    <row r="3" spans="1:20" x14ac:dyDescent="0.35">
      <c r="A3">
        <v>2</v>
      </c>
      <c r="C3" t="s">
        <v>15</v>
      </c>
      <c r="D3" s="3">
        <v>43159</v>
      </c>
      <c r="E3" s="2">
        <v>682</v>
      </c>
      <c r="I3" s="4">
        <f t="shared" ref="I3:I38" si="0">VLOOKUP(C3,$P$1:$Q$13,2,0)</f>
        <v>1.0777456351695176</v>
      </c>
      <c r="J3" s="2">
        <f t="shared" ref="J3:J33" si="1">E3/I3</f>
        <v>632.80237724435676</v>
      </c>
      <c r="K3" s="2">
        <f t="shared" ref="K3:K38" si="2">$T$1+$T$2*A3</f>
        <v>941.10046492601316</v>
      </c>
      <c r="L3" s="2">
        <f t="shared" ref="L3:L38" si="3">I3*K3</f>
        <v>1014.2669183300144</v>
      </c>
      <c r="P3" t="s">
        <v>15</v>
      </c>
      <c r="Q3" s="4">
        <f t="shared" ref="Q3:Q13" si="4">AVERAGEIF($C$4:$C$31,P3,$H$4:$H$31)</f>
        <v>1.0777456351695176</v>
      </c>
    </row>
    <row r="4" spans="1:20" x14ac:dyDescent="0.35">
      <c r="A4">
        <v>3</v>
      </c>
      <c r="C4" t="s">
        <v>16</v>
      </c>
      <c r="D4" s="3">
        <v>43190</v>
      </c>
      <c r="E4" s="2">
        <v>829</v>
      </c>
      <c r="F4" s="5">
        <f>AVERAGE(E2:E5)</f>
        <v>783.5</v>
      </c>
      <c r="G4" s="5">
        <f>AVERAGE(F4:F5)</f>
        <v>774.75</v>
      </c>
      <c r="H4" s="4">
        <f>F4/G4</f>
        <v>1.0112939657954179</v>
      </c>
      <c r="I4" s="4">
        <f t="shared" si="0"/>
        <v>1.0313552399602253</v>
      </c>
      <c r="J4" s="2">
        <f t="shared" si="1"/>
        <v>803.79675971973609</v>
      </c>
      <c r="K4" s="2">
        <f t="shared" si="2"/>
        <v>980.8316501129118</v>
      </c>
      <c r="L4" s="2">
        <f t="shared" si="3"/>
        <v>1011.5858618627859</v>
      </c>
      <c r="P4" t="s">
        <v>16</v>
      </c>
      <c r="Q4" s="4">
        <f t="shared" si="4"/>
        <v>1.0313552399602253</v>
      </c>
    </row>
    <row r="5" spans="1:20" x14ac:dyDescent="0.35">
      <c r="A5">
        <v>4</v>
      </c>
      <c r="C5" t="s">
        <v>17</v>
      </c>
      <c r="D5" s="3">
        <v>43220</v>
      </c>
      <c r="E5" s="2">
        <v>800</v>
      </c>
      <c r="F5" s="5">
        <f t="shared" ref="F5:F32" si="5">AVERAGE(E3:E6)</f>
        <v>766</v>
      </c>
      <c r="G5" s="5">
        <f t="shared" ref="G5:G31" si="6">AVERAGE(F5:F6)</f>
        <v>766.625</v>
      </c>
      <c r="H5" s="4">
        <f t="shared" ref="H5:H31" si="7">F5/G5</f>
        <v>0.99918473830099463</v>
      </c>
      <c r="I5" s="4">
        <f t="shared" si="0"/>
        <v>0.96417165546757599</v>
      </c>
      <c r="J5" s="2">
        <f t="shared" si="1"/>
        <v>829.72777250129718</v>
      </c>
      <c r="K5" s="2">
        <f t="shared" si="2"/>
        <v>1020.5628352998106</v>
      </c>
      <c r="L5" s="2">
        <f t="shared" si="3"/>
        <v>983.99775841970143</v>
      </c>
      <c r="P5" t="s">
        <v>17</v>
      </c>
      <c r="Q5" s="4">
        <f t="shared" si="4"/>
        <v>0.96417165546757599</v>
      </c>
    </row>
    <row r="6" spans="1:20" x14ac:dyDescent="0.35">
      <c r="A6">
        <v>5</v>
      </c>
      <c r="C6" t="s">
        <v>18</v>
      </c>
      <c r="D6" s="3">
        <v>43251</v>
      </c>
      <c r="E6" s="2">
        <v>753</v>
      </c>
      <c r="F6" s="5">
        <f t="shared" si="5"/>
        <v>767.25</v>
      </c>
      <c r="G6" s="5">
        <f t="shared" si="6"/>
        <v>820.25</v>
      </c>
      <c r="H6" s="4">
        <f t="shared" si="7"/>
        <v>0.9353855531850046</v>
      </c>
      <c r="I6" s="4">
        <f t="shared" si="0"/>
        <v>0.92773037884661813</v>
      </c>
      <c r="J6" s="2">
        <f t="shared" si="1"/>
        <v>811.6582330053177</v>
      </c>
      <c r="K6" s="2">
        <f t="shared" si="2"/>
        <v>1060.2940204867093</v>
      </c>
      <c r="L6" s="2">
        <f t="shared" si="3"/>
        <v>983.66697331493867</v>
      </c>
      <c r="P6" t="s">
        <v>18</v>
      </c>
      <c r="Q6" s="4">
        <f t="shared" si="4"/>
        <v>0.92773037884661813</v>
      </c>
    </row>
    <row r="7" spans="1:20" x14ac:dyDescent="0.35">
      <c r="A7">
        <v>6</v>
      </c>
      <c r="C7" t="s">
        <v>19</v>
      </c>
      <c r="D7" s="3">
        <v>43281</v>
      </c>
      <c r="E7" s="2">
        <v>687</v>
      </c>
      <c r="F7" s="5">
        <f t="shared" si="5"/>
        <v>873.25</v>
      </c>
      <c r="G7" s="5">
        <f t="shared" si="6"/>
        <v>941.25</v>
      </c>
      <c r="H7" s="4">
        <f t="shared" si="7"/>
        <v>0.92775564409030542</v>
      </c>
      <c r="I7" s="4">
        <f t="shared" si="0"/>
        <v>0.94300261325704426</v>
      </c>
      <c r="J7" s="2">
        <f t="shared" si="1"/>
        <v>728.52396201444787</v>
      </c>
      <c r="K7" s="2">
        <f t="shared" si="2"/>
        <v>1100.0252056736078</v>
      </c>
      <c r="L7" s="2">
        <f t="shared" si="3"/>
        <v>1037.3266435988298</v>
      </c>
      <c r="P7" t="s">
        <v>19</v>
      </c>
      <c r="Q7" s="4">
        <f t="shared" si="4"/>
        <v>0.94300261325704426</v>
      </c>
    </row>
    <row r="8" spans="1:20" x14ac:dyDescent="0.35">
      <c r="A8">
        <v>7</v>
      </c>
      <c r="C8" t="s">
        <v>20</v>
      </c>
      <c r="D8" s="3">
        <v>43312</v>
      </c>
      <c r="E8" s="2">
        <v>1253</v>
      </c>
      <c r="F8" s="5">
        <f t="shared" si="5"/>
        <v>1009.25</v>
      </c>
      <c r="G8" s="5">
        <f t="shared" si="6"/>
        <v>1090.375</v>
      </c>
      <c r="H8" s="4">
        <f t="shared" si="7"/>
        <v>0.92559899117276168</v>
      </c>
      <c r="I8" s="4">
        <f t="shared" si="0"/>
        <v>0.91613130100665241</v>
      </c>
      <c r="J8" s="2">
        <f t="shared" si="1"/>
        <v>1367.7078805441902</v>
      </c>
      <c r="K8" s="2">
        <f t="shared" si="2"/>
        <v>1139.7563908605066</v>
      </c>
      <c r="L8" s="2">
        <f t="shared" si="3"/>
        <v>1044.1665051896825</v>
      </c>
      <c r="P8" t="s">
        <v>20</v>
      </c>
      <c r="Q8" s="4">
        <f t="shared" si="4"/>
        <v>0.91613130100665241</v>
      </c>
    </row>
    <row r="9" spans="1:20" x14ac:dyDescent="0.35">
      <c r="A9">
        <v>8</v>
      </c>
      <c r="C9" t="s">
        <v>21</v>
      </c>
      <c r="D9" s="3">
        <v>43343</v>
      </c>
      <c r="E9" s="2">
        <v>1344</v>
      </c>
      <c r="F9" s="5">
        <f t="shared" si="5"/>
        <v>1171.5</v>
      </c>
      <c r="G9" s="5">
        <f t="shared" si="6"/>
        <v>1224.875</v>
      </c>
      <c r="H9" s="4">
        <f t="shared" si="7"/>
        <v>0.95642412491070516</v>
      </c>
      <c r="I9" s="4">
        <f t="shared" si="0"/>
        <v>0.94116514120735406</v>
      </c>
      <c r="J9" s="2">
        <f t="shared" si="1"/>
        <v>1428.0171897100627</v>
      </c>
      <c r="K9" s="2">
        <f t="shared" si="2"/>
        <v>1179.4875760474054</v>
      </c>
      <c r="L9" s="2">
        <f t="shared" si="3"/>
        <v>1110.092591062976</v>
      </c>
      <c r="P9" t="s">
        <v>21</v>
      </c>
      <c r="Q9" s="4">
        <f t="shared" si="4"/>
        <v>0.94116514120735406</v>
      </c>
    </row>
    <row r="10" spans="1:20" x14ac:dyDescent="0.35">
      <c r="A10">
        <v>9</v>
      </c>
      <c r="C10" t="s">
        <v>22</v>
      </c>
      <c r="D10" s="3">
        <v>43373</v>
      </c>
      <c r="E10" s="2">
        <v>1402</v>
      </c>
      <c r="F10" s="5">
        <f t="shared" si="5"/>
        <v>1278.25</v>
      </c>
      <c r="G10" s="5">
        <f t="shared" si="6"/>
        <v>1238.25</v>
      </c>
      <c r="H10" s="4">
        <f t="shared" si="7"/>
        <v>1.0323036543508985</v>
      </c>
      <c r="I10" s="4">
        <f t="shared" si="0"/>
        <v>1.0023794773094385</v>
      </c>
      <c r="J10" s="2">
        <f t="shared" si="1"/>
        <v>1398.6718919697087</v>
      </c>
      <c r="K10" s="2">
        <f t="shared" si="2"/>
        <v>1219.2187612343041</v>
      </c>
      <c r="L10" s="2">
        <f t="shared" si="3"/>
        <v>1222.1198646119028</v>
      </c>
      <c r="P10" t="s">
        <v>22</v>
      </c>
      <c r="Q10" s="4">
        <f t="shared" si="4"/>
        <v>1.0023794773094385</v>
      </c>
    </row>
    <row r="11" spans="1:20" x14ac:dyDescent="0.35">
      <c r="A11">
        <v>10</v>
      </c>
      <c r="C11" t="s">
        <v>23</v>
      </c>
      <c r="D11" s="3">
        <v>43404</v>
      </c>
      <c r="E11" s="2">
        <v>1114</v>
      </c>
      <c r="F11" s="5">
        <f t="shared" si="5"/>
        <v>1198.25</v>
      </c>
      <c r="G11" s="5">
        <f t="shared" si="6"/>
        <v>1138.75</v>
      </c>
      <c r="H11" s="4">
        <f t="shared" si="7"/>
        <v>1.0522502744237101</v>
      </c>
      <c r="I11" s="4">
        <f t="shared" si="0"/>
        <v>1.0067086588884526</v>
      </c>
      <c r="J11" s="2">
        <f t="shared" si="1"/>
        <v>1106.5763566889473</v>
      </c>
      <c r="K11" s="2">
        <f t="shared" si="2"/>
        <v>1258.9499464212026</v>
      </c>
      <c r="L11" s="2">
        <f t="shared" si="3"/>
        <v>1267.3958121693781</v>
      </c>
      <c r="P11" t="s">
        <v>23</v>
      </c>
      <c r="Q11" s="4">
        <f t="shared" si="4"/>
        <v>1.0067086588884526</v>
      </c>
    </row>
    <row r="12" spans="1:20" x14ac:dyDescent="0.35">
      <c r="A12">
        <v>11</v>
      </c>
      <c r="C12" t="s">
        <v>24</v>
      </c>
      <c r="D12" s="3">
        <v>43434</v>
      </c>
      <c r="E12" s="2">
        <v>933</v>
      </c>
      <c r="F12" s="5">
        <f t="shared" si="5"/>
        <v>1079.25</v>
      </c>
      <c r="G12" s="5">
        <f t="shared" si="6"/>
        <v>1040.125</v>
      </c>
      <c r="H12" s="4">
        <f t="shared" si="7"/>
        <v>1.0376156711933662</v>
      </c>
      <c r="I12" s="4">
        <f t="shared" si="0"/>
        <v>1.0109813423329186</v>
      </c>
      <c r="J12" s="2">
        <f t="shared" si="1"/>
        <v>922.86569586638416</v>
      </c>
      <c r="K12" s="2">
        <f t="shared" si="2"/>
        <v>1298.6811316081014</v>
      </c>
      <c r="L12" s="2">
        <f t="shared" si="3"/>
        <v>1312.942393695592</v>
      </c>
      <c r="P12" t="s">
        <v>24</v>
      </c>
      <c r="Q12" s="4">
        <f t="shared" si="4"/>
        <v>1.0109813423329186</v>
      </c>
    </row>
    <row r="13" spans="1:20" x14ac:dyDescent="0.35">
      <c r="A13">
        <v>12</v>
      </c>
      <c r="C13" t="s">
        <v>25</v>
      </c>
      <c r="D13" s="3">
        <v>43465</v>
      </c>
      <c r="E13" s="2">
        <v>868</v>
      </c>
      <c r="F13" s="5">
        <f t="shared" si="5"/>
        <v>1001</v>
      </c>
      <c r="G13" s="5">
        <f t="shared" si="6"/>
        <v>982.375</v>
      </c>
      <c r="H13" s="4">
        <f t="shared" si="7"/>
        <v>1.0189591551087924</v>
      </c>
      <c r="I13" s="4">
        <f t="shared" si="0"/>
        <v>1.0378808416334822</v>
      </c>
      <c r="J13" s="2">
        <f t="shared" si="1"/>
        <v>836.31951297403953</v>
      </c>
      <c r="K13" s="2">
        <f t="shared" si="2"/>
        <v>1338.4123167950002</v>
      </c>
      <c r="L13" s="2">
        <f t="shared" si="3"/>
        <v>1389.1125018078135</v>
      </c>
      <c r="P13" t="s">
        <v>25</v>
      </c>
      <c r="Q13" s="4">
        <f t="shared" si="4"/>
        <v>1.0378808416334822</v>
      </c>
    </row>
    <row r="14" spans="1:20" x14ac:dyDescent="0.35">
      <c r="A14">
        <v>13</v>
      </c>
      <c r="B14">
        <v>2019</v>
      </c>
      <c r="C14" t="s">
        <v>13</v>
      </c>
      <c r="D14" s="3">
        <v>43496</v>
      </c>
      <c r="E14" s="2">
        <v>1089</v>
      </c>
      <c r="F14" s="5">
        <f t="shared" si="5"/>
        <v>963.75</v>
      </c>
      <c r="G14" s="5">
        <f t="shared" si="6"/>
        <v>985.5</v>
      </c>
      <c r="H14" s="4">
        <f t="shared" si="7"/>
        <v>0.97792998477929982</v>
      </c>
      <c r="I14" s="4">
        <f t="shared" si="0"/>
        <v>1.0577409513439622</v>
      </c>
      <c r="J14" s="2">
        <f t="shared" si="1"/>
        <v>1029.552650501354</v>
      </c>
      <c r="K14" s="2">
        <f t="shared" si="2"/>
        <v>1378.1435019818987</v>
      </c>
      <c r="L14" s="2">
        <f t="shared" si="3"/>
        <v>1457.7188188748332</v>
      </c>
    </row>
    <row r="15" spans="1:20" x14ac:dyDescent="0.35">
      <c r="A15">
        <v>14</v>
      </c>
      <c r="C15" t="s">
        <v>15</v>
      </c>
      <c r="D15" s="3">
        <v>43524</v>
      </c>
      <c r="E15" s="2">
        <v>965</v>
      </c>
      <c r="F15" s="5">
        <f t="shared" si="5"/>
        <v>1007.25</v>
      </c>
      <c r="G15" s="5">
        <f t="shared" si="6"/>
        <v>1053.75</v>
      </c>
      <c r="H15" s="4">
        <f t="shared" si="7"/>
        <v>0.95587188612099649</v>
      </c>
      <c r="I15" s="4">
        <f t="shared" si="0"/>
        <v>1.0777456351695176</v>
      </c>
      <c r="J15" s="2">
        <f t="shared" si="1"/>
        <v>895.38752791906791</v>
      </c>
      <c r="K15" s="2">
        <f t="shared" si="2"/>
        <v>1417.8746871687974</v>
      </c>
      <c r="L15" s="2">
        <f t="shared" si="3"/>
        <v>1528.1082553135166</v>
      </c>
    </row>
    <row r="16" spans="1:20" x14ac:dyDescent="0.35">
      <c r="A16">
        <v>15</v>
      </c>
      <c r="C16" t="s">
        <v>16</v>
      </c>
      <c r="D16" s="3">
        <v>43555</v>
      </c>
      <c r="E16" s="2">
        <v>1107</v>
      </c>
      <c r="F16" s="5">
        <f t="shared" si="5"/>
        <v>1100.25</v>
      </c>
      <c r="G16" s="5">
        <f t="shared" si="6"/>
        <v>1145.625</v>
      </c>
      <c r="H16" s="4">
        <f t="shared" si="7"/>
        <v>0.96039279869067107</v>
      </c>
      <c r="I16" s="4">
        <f t="shared" si="0"/>
        <v>1.0313552399602253</v>
      </c>
      <c r="J16" s="2">
        <f t="shared" si="1"/>
        <v>1073.3450096619397</v>
      </c>
      <c r="K16" s="2">
        <f t="shared" si="2"/>
        <v>1457.6058723556962</v>
      </c>
      <c r="L16" s="2">
        <f t="shared" si="3"/>
        <v>1503.3094542508425</v>
      </c>
    </row>
    <row r="17" spans="1:12" x14ac:dyDescent="0.35">
      <c r="A17">
        <v>16</v>
      </c>
      <c r="C17" t="s">
        <v>17</v>
      </c>
      <c r="D17" s="3">
        <v>43585</v>
      </c>
      <c r="E17" s="2">
        <v>1240</v>
      </c>
      <c r="F17" s="5">
        <f t="shared" si="5"/>
        <v>1191</v>
      </c>
      <c r="G17" s="5">
        <f t="shared" si="6"/>
        <v>1262.5</v>
      </c>
      <c r="H17" s="4">
        <f t="shared" si="7"/>
        <v>0.94336633663366332</v>
      </c>
      <c r="I17" s="4">
        <f t="shared" si="0"/>
        <v>0.96417165546757599</v>
      </c>
      <c r="J17" s="2">
        <f t="shared" si="1"/>
        <v>1286.0780473770108</v>
      </c>
      <c r="K17" s="2">
        <f t="shared" si="2"/>
        <v>1497.3370575425947</v>
      </c>
      <c r="L17" s="2">
        <f t="shared" si="3"/>
        <v>1443.6899495637927</v>
      </c>
    </row>
    <row r="18" spans="1:12" x14ac:dyDescent="0.35">
      <c r="A18">
        <v>17</v>
      </c>
      <c r="C18" t="s">
        <v>18</v>
      </c>
      <c r="D18" s="3">
        <v>43616</v>
      </c>
      <c r="E18" s="2">
        <v>1452</v>
      </c>
      <c r="F18" s="5">
        <f t="shared" si="5"/>
        <v>1334</v>
      </c>
      <c r="G18" s="5">
        <f t="shared" si="6"/>
        <v>1483.75</v>
      </c>
      <c r="H18" s="4">
        <f t="shared" si="7"/>
        <v>0.89907329401853409</v>
      </c>
      <c r="I18" s="4">
        <f t="shared" si="0"/>
        <v>0.92773037884661813</v>
      </c>
      <c r="J18" s="2">
        <f t="shared" si="1"/>
        <v>1565.1098995002937</v>
      </c>
      <c r="K18" s="2">
        <f t="shared" si="2"/>
        <v>1537.0682427294935</v>
      </c>
      <c r="L18" s="2">
        <f t="shared" si="3"/>
        <v>1425.9849031405386</v>
      </c>
    </row>
    <row r="19" spans="1:12" x14ac:dyDescent="0.35">
      <c r="A19">
        <v>18</v>
      </c>
      <c r="C19" t="s">
        <v>19</v>
      </c>
      <c r="D19" s="3">
        <v>43646</v>
      </c>
      <c r="E19" s="2">
        <v>1537</v>
      </c>
      <c r="F19" s="5">
        <f t="shared" si="5"/>
        <v>1633.5</v>
      </c>
      <c r="G19" s="5">
        <f t="shared" si="6"/>
        <v>1805.75</v>
      </c>
      <c r="H19" s="4">
        <f t="shared" si="7"/>
        <v>0.90461027273985883</v>
      </c>
      <c r="I19" s="4">
        <f t="shared" si="0"/>
        <v>0.94300261325704426</v>
      </c>
      <c r="J19" s="2">
        <f t="shared" si="1"/>
        <v>1629.9000431094707</v>
      </c>
      <c r="K19" s="2">
        <f t="shared" si="2"/>
        <v>1576.7994279163922</v>
      </c>
      <c r="L19" s="2">
        <f t="shared" si="3"/>
        <v>1486.9259811073703</v>
      </c>
    </row>
    <row r="20" spans="1:12" x14ac:dyDescent="0.35">
      <c r="A20">
        <v>19</v>
      </c>
      <c r="C20" t="s">
        <v>20</v>
      </c>
      <c r="D20" s="3">
        <v>43677</v>
      </c>
      <c r="E20" s="2">
        <v>2305</v>
      </c>
      <c r="F20" s="5">
        <f t="shared" si="5"/>
        <v>1978</v>
      </c>
      <c r="G20" s="5">
        <f t="shared" si="6"/>
        <v>2181.625</v>
      </c>
      <c r="H20" s="4">
        <f t="shared" si="7"/>
        <v>0.90666361084054314</v>
      </c>
      <c r="I20" s="4">
        <f t="shared" si="0"/>
        <v>0.91613130100665241</v>
      </c>
      <c r="J20" s="2">
        <f t="shared" si="1"/>
        <v>2516.0148959731509</v>
      </c>
      <c r="K20" s="2">
        <f t="shared" si="2"/>
        <v>1616.5306131032908</v>
      </c>
      <c r="L20" s="2">
        <f t="shared" si="3"/>
        <v>1480.9542936993992</v>
      </c>
    </row>
    <row r="21" spans="1:12" x14ac:dyDescent="0.35">
      <c r="A21">
        <v>20</v>
      </c>
      <c r="C21" t="s">
        <v>21</v>
      </c>
      <c r="D21" s="3">
        <v>43708</v>
      </c>
      <c r="E21" s="2">
        <v>2618</v>
      </c>
      <c r="F21" s="5">
        <f t="shared" si="5"/>
        <v>2385.25</v>
      </c>
      <c r="G21" s="5">
        <f t="shared" si="6"/>
        <v>2576.125</v>
      </c>
      <c r="H21" s="4">
        <f t="shared" si="7"/>
        <v>0.92590615750400307</v>
      </c>
      <c r="I21" s="4">
        <f t="shared" si="0"/>
        <v>0.94116514120735406</v>
      </c>
      <c r="J21" s="2">
        <f t="shared" si="1"/>
        <v>2781.6584841227263</v>
      </c>
      <c r="K21" s="2">
        <f t="shared" si="2"/>
        <v>1656.2617982901897</v>
      </c>
      <c r="L21" s="2">
        <f t="shared" si="3"/>
        <v>1558.8158692641325</v>
      </c>
    </row>
    <row r="22" spans="1:12" x14ac:dyDescent="0.35">
      <c r="A22">
        <v>21</v>
      </c>
      <c r="C22" t="s">
        <v>22</v>
      </c>
      <c r="D22" s="3">
        <v>43738</v>
      </c>
      <c r="E22" s="2">
        <v>3081</v>
      </c>
      <c r="F22" s="5">
        <f t="shared" si="5"/>
        <v>2767</v>
      </c>
      <c r="G22" s="5">
        <f t="shared" si="6"/>
        <v>2845.375</v>
      </c>
      <c r="H22" s="4">
        <f t="shared" si="7"/>
        <v>0.97245530026797877</v>
      </c>
      <c r="I22" s="4">
        <f t="shared" si="0"/>
        <v>1.0023794773094385</v>
      </c>
      <c r="J22" s="2">
        <f t="shared" si="1"/>
        <v>3073.6862333514068</v>
      </c>
      <c r="K22" s="2">
        <f t="shared" si="2"/>
        <v>1695.9929834770883</v>
      </c>
      <c r="L22" s="2">
        <f t="shared" si="3"/>
        <v>1700.028560298239</v>
      </c>
    </row>
    <row r="23" spans="1:12" x14ac:dyDescent="0.35">
      <c r="A23">
        <v>22</v>
      </c>
      <c r="C23" t="s">
        <v>23</v>
      </c>
      <c r="D23" s="3">
        <v>43769</v>
      </c>
      <c r="E23" s="2">
        <v>3064</v>
      </c>
      <c r="F23" s="5">
        <f t="shared" si="5"/>
        <v>2923.75</v>
      </c>
      <c r="G23" s="5">
        <f t="shared" si="6"/>
        <v>3041.875</v>
      </c>
      <c r="H23" s="4">
        <f t="shared" si="7"/>
        <v>0.96116704335319503</v>
      </c>
      <c r="I23" s="4">
        <f t="shared" si="0"/>
        <v>1.0067086588884526</v>
      </c>
      <c r="J23" s="2">
        <f t="shared" si="1"/>
        <v>3043.5816489182534</v>
      </c>
      <c r="K23" s="2">
        <f t="shared" si="2"/>
        <v>1735.724168663987</v>
      </c>
      <c r="L23" s="2">
        <f t="shared" si="3"/>
        <v>1747.3685500359968</v>
      </c>
    </row>
    <row r="24" spans="1:12" x14ac:dyDescent="0.35">
      <c r="A24">
        <v>23</v>
      </c>
      <c r="C24" t="s">
        <v>24</v>
      </c>
      <c r="D24" s="3">
        <v>43799</v>
      </c>
      <c r="E24" s="2">
        <v>2932</v>
      </c>
      <c r="F24" s="5">
        <f t="shared" si="5"/>
        <v>3160</v>
      </c>
      <c r="G24" s="5">
        <f t="shared" si="6"/>
        <v>3210.25</v>
      </c>
      <c r="H24" s="4">
        <f t="shared" si="7"/>
        <v>0.984347013472471</v>
      </c>
      <c r="I24" s="4">
        <f t="shared" si="0"/>
        <v>1.0109813423329186</v>
      </c>
      <c r="J24" s="2">
        <f t="shared" si="1"/>
        <v>2900.1524333121524</v>
      </c>
      <c r="K24" s="2">
        <f t="shared" si="2"/>
        <v>1775.4553538508858</v>
      </c>
      <c r="L24" s="2">
        <f t="shared" si="3"/>
        <v>1794.9522368883354</v>
      </c>
    </row>
    <row r="25" spans="1:12" x14ac:dyDescent="0.35">
      <c r="A25">
        <v>24</v>
      </c>
      <c r="C25" t="s">
        <v>25</v>
      </c>
      <c r="D25" s="3">
        <v>43830</v>
      </c>
      <c r="E25" s="2">
        <v>3563</v>
      </c>
      <c r="F25" s="5">
        <f t="shared" si="5"/>
        <v>3260.5</v>
      </c>
      <c r="G25" s="5">
        <f t="shared" si="6"/>
        <v>3085.25</v>
      </c>
      <c r="H25" s="4">
        <f t="shared" si="7"/>
        <v>1.0568025281581719</v>
      </c>
      <c r="I25" s="4">
        <f t="shared" si="0"/>
        <v>1.0378808416334822</v>
      </c>
      <c r="J25" s="2">
        <f t="shared" si="1"/>
        <v>3432.9567105144042</v>
      </c>
      <c r="K25" s="2">
        <f t="shared" si="2"/>
        <v>1815.1865390377843</v>
      </c>
      <c r="L25" s="2">
        <f t="shared" si="3"/>
        <v>1883.9473328583033</v>
      </c>
    </row>
    <row r="26" spans="1:12" x14ac:dyDescent="0.35">
      <c r="A26">
        <v>25</v>
      </c>
      <c r="B26">
        <v>2020</v>
      </c>
      <c r="C26" t="s">
        <v>13</v>
      </c>
      <c r="D26" s="3">
        <v>43861</v>
      </c>
      <c r="E26" s="2">
        <v>3483</v>
      </c>
      <c r="F26" s="5">
        <f t="shared" si="5"/>
        <v>2910</v>
      </c>
      <c r="G26" s="5">
        <f t="shared" si="6"/>
        <v>2558.125</v>
      </c>
      <c r="H26" s="4">
        <f t="shared" si="7"/>
        <v>1.1375519179086244</v>
      </c>
      <c r="I26" s="4">
        <f t="shared" si="0"/>
        <v>1.0577409513439622</v>
      </c>
      <c r="J26" s="2">
        <f t="shared" si="1"/>
        <v>3292.866741686149</v>
      </c>
      <c r="K26" s="2">
        <f t="shared" si="2"/>
        <v>1854.9177242246831</v>
      </c>
      <c r="L26" s="2">
        <f t="shared" si="3"/>
        <v>1962.0224382861936</v>
      </c>
    </row>
    <row r="27" spans="1:12" x14ac:dyDescent="0.35">
      <c r="A27">
        <v>26</v>
      </c>
      <c r="C27" t="s">
        <v>15</v>
      </c>
      <c r="D27" s="3">
        <v>43890</v>
      </c>
      <c r="E27" s="2">
        <v>1662</v>
      </c>
      <c r="F27" s="5">
        <f t="shared" si="5"/>
        <v>2206.25</v>
      </c>
      <c r="G27" s="5">
        <f t="shared" si="6"/>
        <v>1839.125</v>
      </c>
      <c r="H27" s="4">
        <f t="shared" si="7"/>
        <v>1.1996193842180385</v>
      </c>
      <c r="I27" s="4">
        <f t="shared" si="0"/>
        <v>1.0777456351695176</v>
      </c>
      <c r="J27" s="2">
        <f t="shared" si="1"/>
        <v>1542.1078460119077</v>
      </c>
      <c r="K27" s="2">
        <f t="shared" si="2"/>
        <v>1894.6489094115818</v>
      </c>
      <c r="L27" s="2">
        <f t="shared" si="3"/>
        <v>2041.9495922970191</v>
      </c>
    </row>
    <row r="28" spans="1:12" x14ac:dyDescent="0.35">
      <c r="A28">
        <v>27</v>
      </c>
      <c r="C28" t="s">
        <v>16</v>
      </c>
      <c r="D28" s="3">
        <v>43921</v>
      </c>
      <c r="E28" s="2">
        <v>117</v>
      </c>
      <c r="F28" s="5">
        <f t="shared" si="5"/>
        <v>1472</v>
      </c>
      <c r="G28" s="5">
        <f t="shared" si="6"/>
        <v>1311.5</v>
      </c>
      <c r="H28" s="4">
        <f t="shared" si="7"/>
        <v>1.1223789553945864</v>
      </c>
      <c r="I28" s="4">
        <f t="shared" si="0"/>
        <v>1.0313552399602253</v>
      </c>
      <c r="J28" s="2">
        <f t="shared" si="1"/>
        <v>113.4429685008554</v>
      </c>
      <c r="K28" s="2">
        <f t="shared" si="2"/>
        <v>1934.3800945984804</v>
      </c>
      <c r="L28" s="2">
        <f t="shared" si="3"/>
        <v>1995.0330466388989</v>
      </c>
    </row>
    <row r="29" spans="1:12" x14ac:dyDescent="0.35">
      <c r="A29">
        <v>28</v>
      </c>
      <c r="C29" t="s">
        <v>17</v>
      </c>
      <c r="D29" s="3">
        <v>43951</v>
      </c>
      <c r="E29" s="2">
        <v>626</v>
      </c>
      <c r="F29" s="5">
        <f t="shared" si="5"/>
        <v>1151</v>
      </c>
      <c r="G29" s="5">
        <f t="shared" si="6"/>
        <v>1211.625</v>
      </c>
      <c r="H29" s="4">
        <f t="shared" si="7"/>
        <v>0.9499638914680697</v>
      </c>
      <c r="I29" s="4">
        <f t="shared" si="0"/>
        <v>0.96417165546757599</v>
      </c>
      <c r="J29" s="2">
        <f t="shared" si="1"/>
        <v>649.26198198226507</v>
      </c>
      <c r="K29" s="2">
        <f t="shared" si="2"/>
        <v>1974.1112797853791</v>
      </c>
      <c r="L29" s="2">
        <f t="shared" si="3"/>
        <v>1903.382140707884</v>
      </c>
    </row>
    <row r="30" spans="1:12" x14ac:dyDescent="0.35">
      <c r="A30">
        <v>29</v>
      </c>
      <c r="C30" t="s">
        <v>18</v>
      </c>
      <c r="D30" s="3">
        <v>43982</v>
      </c>
      <c r="E30" s="2">
        <v>2199</v>
      </c>
      <c r="F30" s="5">
        <f t="shared" si="5"/>
        <v>1272.25</v>
      </c>
      <c r="G30" s="5">
        <f t="shared" si="6"/>
        <v>1341</v>
      </c>
      <c r="H30" s="4">
        <f t="shared" si="7"/>
        <v>0.94873228933631615</v>
      </c>
      <c r="I30" s="4">
        <f t="shared" si="0"/>
        <v>0.92773037884661813</v>
      </c>
      <c r="J30" s="2">
        <f t="shared" si="1"/>
        <v>2370.3007362266844</v>
      </c>
      <c r="K30" s="2">
        <f t="shared" si="2"/>
        <v>2013.8424649722779</v>
      </c>
      <c r="L30" s="2">
        <f t="shared" si="3"/>
        <v>1868.3028329661386</v>
      </c>
    </row>
    <row r="31" spans="1:12" x14ac:dyDescent="0.35">
      <c r="A31">
        <v>30</v>
      </c>
      <c r="C31" t="s">
        <v>19</v>
      </c>
      <c r="D31" s="3">
        <v>44012</v>
      </c>
      <c r="E31" s="2">
        <v>2147</v>
      </c>
      <c r="F31" s="5">
        <f t="shared" si="5"/>
        <v>1409.75</v>
      </c>
      <c r="G31" s="5">
        <f t="shared" si="6"/>
        <v>1414.5</v>
      </c>
      <c r="H31" s="4">
        <f t="shared" si="7"/>
        <v>0.99664192294096854</v>
      </c>
      <c r="I31" s="4">
        <f t="shared" si="0"/>
        <v>0.94300261325704426</v>
      </c>
      <c r="J31" s="2">
        <f t="shared" si="1"/>
        <v>2276.769936601193</v>
      </c>
      <c r="K31" s="2">
        <f t="shared" si="2"/>
        <v>2053.5736501591764</v>
      </c>
      <c r="L31" s="2">
        <f t="shared" si="3"/>
        <v>1936.5253186159105</v>
      </c>
    </row>
    <row r="32" spans="1:12" x14ac:dyDescent="0.35">
      <c r="A32">
        <v>31</v>
      </c>
      <c r="C32" t="s">
        <v>20</v>
      </c>
      <c r="D32" s="3">
        <v>44043</v>
      </c>
      <c r="E32" s="5">
        <v>667</v>
      </c>
      <c r="F32" s="5">
        <f t="shared" si="5"/>
        <v>1419.25</v>
      </c>
      <c r="G32" s="5"/>
      <c r="I32" s="4">
        <f t="shared" si="0"/>
        <v>0.91613130100665241</v>
      </c>
      <c r="J32" s="2">
        <f t="shared" si="1"/>
        <v>728.06157727292475</v>
      </c>
      <c r="K32" s="2">
        <f t="shared" si="2"/>
        <v>2093.3048353460754</v>
      </c>
      <c r="L32" s="2">
        <f t="shared" si="3"/>
        <v>1917.7420822091162</v>
      </c>
    </row>
    <row r="33" spans="1:12" x14ac:dyDescent="0.35">
      <c r="A33">
        <v>32</v>
      </c>
      <c r="C33" t="s">
        <v>21</v>
      </c>
      <c r="D33" s="3">
        <v>44074</v>
      </c>
      <c r="E33" s="5">
        <v>664</v>
      </c>
      <c r="F33" s="5"/>
      <c r="I33" s="4">
        <f t="shared" si="0"/>
        <v>0.94116514120735406</v>
      </c>
      <c r="J33" s="2">
        <f t="shared" si="1"/>
        <v>705.50849253532851</v>
      </c>
      <c r="K33" s="2">
        <f t="shared" si="2"/>
        <v>2133.0360205329739</v>
      </c>
      <c r="L33" s="2">
        <f t="shared" si="3"/>
        <v>2007.539147465289</v>
      </c>
    </row>
    <row r="34" spans="1:12" x14ac:dyDescent="0.35">
      <c r="A34" s="8">
        <v>33</v>
      </c>
      <c r="B34" s="8"/>
      <c r="C34" s="8" t="s">
        <v>22</v>
      </c>
      <c r="D34" s="9">
        <v>44104</v>
      </c>
      <c r="E34" s="8"/>
      <c r="F34" s="14"/>
      <c r="G34" s="8"/>
      <c r="H34" s="8"/>
      <c r="I34" s="10">
        <f t="shared" si="0"/>
        <v>1.0023794773094385</v>
      </c>
      <c r="J34" s="8"/>
      <c r="K34" s="15">
        <f t="shared" si="2"/>
        <v>2172.7672057198724</v>
      </c>
      <c r="L34" s="15">
        <f t="shared" si="3"/>
        <v>2177.9372559845751</v>
      </c>
    </row>
    <row r="35" spans="1:12" x14ac:dyDescent="0.35">
      <c r="A35" s="8">
        <v>34</v>
      </c>
      <c r="B35" s="8"/>
      <c r="C35" s="8" t="s">
        <v>23</v>
      </c>
      <c r="D35" s="9">
        <v>44135</v>
      </c>
      <c r="E35" s="8"/>
      <c r="F35" s="8"/>
      <c r="G35" s="8"/>
      <c r="H35" s="8"/>
      <c r="I35" s="10">
        <f t="shared" si="0"/>
        <v>1.0067086588884526</v>
      </c>
      <c r="J35" s="8"/>
      <c r="K35" s="15">
        <f t="shared" si="2"/>
        <v>2212.4983909067714</v>
      </c>
      <c r="L35" s="15">
        <f t="shared" si="3"/>
        <v>2227.3412879026155</v>
      </c>
    </row>
    <row r="36" spans="1:12" x14ac:dyDescent="0.35">
      <c r="A36" s="8">
        <v>35</v>
      </c>
      <c r="B36" s="8"/>
      <c r="C36" s="8" t="s">
        <v>24</v>
      </c>
      <c r="D36" s="9">
        <v>44165</v>
      </c>
      <c r="E36" s="8"/>
      <c r="F36" s="8"/>
      <c r="G36" s="8"/>
      <c r="H36" s="8"/>
      <c r="I36" s="10">
        <f t="shared" si="0"/>
        <v>1.0109813423329186</v>
      </c>
      <c r="J36" s="8"/>
      <c r="K36" s="15">
        <f t="shared" si="2"/>
        <v>2252.2295760936699</v>
      </c>
      <c r="L36" s="15">
        <f t="shared" si="3"/>
        <v>2276.9620800810785</v>
      </c>
    </row>
    <row r="37" spans="1:12" x14ac:dyDescent="0.35">
      <c r="A37" s="8">
        <v>36</v>
      </c>
      <c r="B37" s="8"/>
      <c r="C37" s="8" t="s">
        <v>25</v>
      </c>
      <c r="D37" s="9">
        <v>44196</v>
      </c>
      <c r="E37" s="8"/>
      <c r="F37" s="8"/>
      <c r="G37" s="8"/>
      <c r="H37" s="8"/>
      <c r="I37" s="10">
        <f t="shared" si="0"/>
        <v>1.0378808416334822</v>
      </c>
      <c r="J37" s="8"/>
      <c r="K37" s="15">
        <f t="shared" si="2"/>
        <v>2291.9607612805685</v>
      </c>
      <c r="L37" s="15">
        <f t="shared" si="3"/>
        <v>2378.7821639087929</v>
      </c>
    </row>
    <row r="38" spans="1:12" x14ac:dyDescent="0.35">
      <c r="A38" s="8">
        <v>37</v>
      </c>
      <c r="B38" s="8">
        <v>2021</v>
      </c>
      <c r="C38" s="8" t="s">
        <v>13</v>
      </c>
      <c r="D38" s="9">
        <v>44227</v>
      </c>
      <c r="E38" s="8"/>
      <c r="F38" s="8"/>
      <c r="G38" s="8"/>
      <c r="H38" s="8"/>
      <c r="I38" s="10">
        <f t="shared" si="0"/>
        <v>1.0577409513439622</v>
      </c>
      <c r="J38" s="8"/>
      <c r="K38" s="15">
        <f t="shared" si="2"/>
        <v>2331.6919464674675</v>
      </c>
      <c r="L38" s="15">
        <f t="shared" si="3"/>
        <v>2466.326057697554</v>
      </c>
    </row>
    <row r="39" spans="1:12" x14ac:dyDescent="0.35">
      <c r="A39">
        <v>38</v>
      </c>
      <c r="C39" t="s">
        <v>15</v>
      </c>
      <c r="D39" s="3">
        <v>44255</v>
      </c>
    </row>
    <row r="40" spans="1:12" x14ac:dyDescent="0.35">
      <c r="A40">
        <v>39</v>
      </c>
      <c r="C40" t="s">
        <v>16</v>
      </c>
      <c r="D40" s="3">
        <v>44286</v>
      </c>
    </row>
    <row r="41" spans="1:12" x14ac:dyDescent="0.35">
      <c r="A41">
        <v>40</v>
      </c>
      <c r="C41" t="s">
        <v>17</v>
      </c>
      <c r="D41" s="3">
        <v>44316</v>
      </c>
    </row>
    <row r="42" spans="1:12" x14ac:dyDescent="0.35">
      <c r="A42">
        <v>41</v>
      </c>
      <c r="C42" t="s">
        <v>18</v>
      </c>
      <c r="D42" s="3">
        <v>44347</v>
      </c>
    </row>
    <row r="43" spans="1:12" x14ac:dyDescent="0.35">
      <c r="A43">
        <v>42</v>
      </c>
      <c r="C43" t="s">
        <v>19</v>
      </c>
      <c r="D43" s="3">
        <v>44377</v>
      </c>
    </row>
    <row r="44" spans="1:12" x14ac:dyDescent="0.35">
      <c r="A44">
        <v>43</v>
      </c>
      <c r="C44" t="s">
        <v>20</v>
      </c>
      <c r="D44" s="3">
        <v>44408</v>
      </c>
    </row>
    <row r="45" spans="1:12" x14ac:dyDescent="0.35">
      <c r="A45">
        <v>44</v>
      </c>
      <c r="C45" t="s">
        <v>21</v>
      </c>
      <c r="D45" s="3">
        <v>44439</v>
      </c>
    </row>
    <row r="46" spans="1:12" x14ac:dyDescent="0.35">
      <c r="A46">
        <v>45</v>
      </c>
      <c r="C46" t="s">
        <v>22</v>
      </c>
      <c r="D46" s="3">
        <v>44469</v>
      </c>
    </row>
    <row r="47" spans="1:12" x14ac:dyDescent="0.35">
      <c r="A47">
        <v>46</v>
      </c>
      <c r="C47" t="s">
        <v>23</v>
      </c>
      <c r="D47" s="3">
        <v>44500</v>
      </c>
    </row>
    <row r="48" spans="1:12" x14ac:dyDescent="0.35">
      <c r="A48">
        <v>47</v>
      </c>
      <c r="C48" t="s">
        <v>24</v>
      </c>
      <c r="D48" s="3">
        <v>44530</v>
      </c>
    </row>
    <row r="49" spans="1:4" x14ac:dyDescent="0.35">
      <c r="A49">
        <v>48</v>
      </c>
      <c r="C49" t="s">
        <v>25</v>
      </c>
      <c r="D49" s="3">
        <v>44561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9"/>
  <sheetViews>
    <sheetView workbookViewId="0">
      <selection activeCell="K15" sqref="K15"/>
    </sheetView>
  </sheetViews>
  <sheetFormatPr defaultRowHeight="14.5" x14ac:dyDescent="0.35"/>
  <cols>
    <col min="1" max="1" width="4.81640625" customWidth="1"/>
    <col min="3" max="3" width="9.81640625" bestFit="1" customWidth="1"/>
    <col min="4" max="4" width="10.54296875" bestFit="1" customWidth="1"/>
    <col min="10" max="10" width="12.54296875" bestFit="1" customWidth="1"/>
    <col min="11" max="12" width="9.08984375" bestFit="1" customWidth="1"/>
    <col min="16" max="16" width="9.81640625" bestFit="1" customWidth="1"/>
    <col min="20" max="20" width="9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2</v>
      </c>
      <c r="Q1" t="s">
        <v>8</v>
      </c>
      <c r="S1" t="s">
        <v>12</v>
      </c>
      <c r="T1" s="2">
        <f>INTERCEPT(J2:J31,A2:A31)</f>
        <v>1076.6592195525627</v>
      </c>
    </row>
    <row r="2" spans="1:20" x14ac:dyDescent="0.35">
      <c r="A2">
        <v>1</v>
      </c>
      <c r="B2">
        <v>2018</v>
      </c>
      <c r="C2" t="s">
        <v>13</v>
      </c>
      <c r="D2" s="3">
        <v>43131</v>
      </c>
      <c r="E2" s="2">
        <v>1248</v>
      </c>
      <c r="I2" s="4">
        <f>VLOOKUP(C2,$P$1:$Q$13,2,0)</f>
        <v>0.9882309666258644</v>
      </c>
      <c r="J2" s="2">
        <f>E2/I2</f>
        <v>1262.8626729448379</v>
      </c>
      <c r="K2" s="2">
        <f>$T$1+$T$2*A2</f>
        <v>1112.7300899672441</v>
      </c>
      <c r="L2" s="2">
        <f>I2*K2</f>
        <v>1099.6343324020147</v>
      </c>
      <c r="P2" t="s">
        <v>13</v>
      </c>
      <c r="Q2" s="4">
        <f>AVERAGEIF($C$4:$C$31,P2,$H$4:$H$31)</f>
        <v>0.9882309666258644</v>
      </c>
      <c r="S2" t="s">
        <v>14</v>
      </c>
      <c r="T2" s="2">
        <f>SLOPE(J2:J31,A2:A31)</f>
        <v>36.07087041468133</v>
      </c>
    </row>
    <row r="3" spans="1:20" x14ac:dyDescent="0.35">
      <c r="A3">
        <v>2</v>
      </c>
      <c r="C3" t="s">
        <v>15</v>
      </c>
      <c r="D3" s="3">
        <v>43159</v>
      </c>
      <c r="E3" s="2">
        <v>972</v>
      </c>
      <c r="I3" s="4">
        <f t="shared" ref="I3:I38" si="0">VLOOKUP(C3,$P$1:$Q$13,2,0)</f>
        <v>1.0514898698867066</v>
      </c>
      <c r="J3" s="2">
        <f t="shared" ref="J3:J33" si="1">E3/I3</f>
        <v>924.40262891427449</v>
      </c>
      <c r="K3" s="2">
        <f t="shared" ref="K3:K38" si="2">$T$1+$T$2*A3</f>
        <v>1148.8009603819253</v>
      </c>
      <c r="L3" s="2">
        <f t="shared" ref="L3:L38" si="3">I3*K3</f>
        <v>1207.9525723577142</v>
      </c>
      <c r="P3" t="s">
        <v>15</v>
      </c>
      <c r="Q3" s="4">
        <f t="shared" ref="Q3:Q13" si="4">AVERAGEIF($C$4:$C$31,P3,$H$4:$H$31)</f>
        <v>1.0514898698867066</v>
      </c>
    </row>
    <row r="4" spans="1:20" x14ac:dyDescent="0.35">
      <c r="A4">
        <v>3</v>
      </c>
      <c r="C4" t="s">
        <v>16</v>
      </c>
      <c r="D4" s="3">
        <v>43190</v>
      </c>
      <c r="E4" s="2">
        <v>1371</v>
      </c>
      <c r="F4" s="5">
        <f>AVERAGE(E2:E5)</f>
        <v>1147.75</v>
      </c>
      <c r="G4" s="5">
        <f>AVERAGE(F4:F5)</f>
        <v>1112.25</v>
      </c>
      <c r="H4" s="4">
        <f>F4/G4</f>
        <v>1.0319172847830973</v>
      </c>
      <c r="I4" s="4">
        <f t="shared" si="0"/>
        <v>1.0268316402544138</v>
      </c>
      <c r="J4" s="2">
        <f t="shared" si="1"/>
        <v>1335.1750630320596</v>
      </c>
      <c r="K4" s="2">
        <f t="shared" si="2"/>
        <v>1184.8718307966067</v>
      </c>
      <c r="L4" s="2">
        <f t="shared" si="3"/>
        <v>1216.6638855081299</v>
      </c>
      <c r="P4" t="s">
        <v>16</v>
      </c>
      <c r="Q4" s="4">
        <f t="shared" si="4"/>
        <v>1.0268316402544138</v>
      </c>
    </row>
    <row r="5" spans="1:20" x14ac:dyDescent="0.35">
      <c r="A5">
        <v>4</v>
      </c>
      <c r="C5" t="s">
        <v>17</v>
      </c>
      <c r="D5" s="3">
        <v>43220</v>
      </c>
      <c r="E5" s="2">
        <v>1000</v>
      </c>
      <c r="F5" s="5">
        <f t="shared" ref="F5:F32" si="5">AVERAGE(E3:E6)</f>
        <v>1076.75</v>
      </c>
      <c r="G5" s="5">
        <f t="shared" ref="G5:G31" si="6">AVERAGE(F5:F6)</f>
        <v>1058.625</v>
      </c>
      <c r="H5" s="4">
        <f t="shared" ref="H5:H31" si="7">F5/G5</f>
        <v>1.0171212657928916</v>
      </c>
      <c r="I5" s="4">
        <f t="shared" si="0"/>
        <v>0.97614410504911486</v>
      </c>
      <c r="J5" s="2">
        <f t="shared" si="1"/>
        <v>1024.438906947745</v>
      </c>
      <c r="K5" s="2">
        <f t="shared" si="2"/>
        <v>1220.9427012112881</v>
      </c>
      <c r="L5" s="2">
        <f t="shared" si="3"/>
        <v>1191.8160203901416</v>
      </c>
      <c r="P5" t="s">
        <v>17</v>
      </c>
      <c r="Q5" s="4">
        <f t="shared" si="4"/>
        <v>0.97614410504911486</v>
      </c>
    </row>
    <row r="6" spans="1:20" x14ac:dyDescent="0.35">
      <c r="A6">
        <v>5</v>
      </c>
      <c r="C6" t="s">
        <v>18</v>
      </c>
      <c r="D6" s="3">
        <v>43251</v>
      </c>
      <c r="E6" s="2">
        <v>964</v>
      </c>
      <c r="F6" s="5">
        <f t="shared" si="5"/>
        <v>1040.5</v>
      </c>
      <c r="G6" s="5">
        <f t="shared" si="6"/>
        <v>1065.5</v>
      </c>
      <c r="H6" s="4">
        <f t="shared" si="7"/>
        <v>0.97653683716564998</v>
      </c>
      <c r="I6" s="4">
        <f t="shared" si="0"/>
        <v>0.93099712419684677</v>
      </c>
      <c r="J6" s="2">
        <f t="shared" si="1"/>
        <v>1035.4489556899805</v>
      </c>
      <c r="K6" s="2">
        <f t="shared" si="2"/>
        <v>1257.0135716259695</v>
      </c>
      <c r="L6" s="2">
        <f t="shared" si="3"/>
        <v>1170.2760202601846</v>
      </c>
      <c r="P6" t="s">
        <v>18</v>
      </c>
      <c r="Q6" s="4">
        <f t="shared" si="4"/>
        <v>0.93099712419684677</v>
      </c>
    </row>
    <row r="7" spans="1:20" x14ac:dyDescent="0.35">
      <c r="A7">
        <v>6</v>
      </c>
      <c r="C7" t="s">
        <v>19</v>
      </c>
      <c r="D7" s="3">
        <v>43281</v>
      </c>
      <c r="E7" s="2">
        <v>827</v>
      </c>
      <c r="F7" s="5">
        <f t="shared" si="5"/>
        <v>1090.5</v>
      </c>
      <c r="G7" s="5">
        <f t="shared" si="6"/>
        <v>1158.875</v>
      </c>
      <c r="H7" s="4">
        <f t="shared" si="7"/>
        <v>0.94099881350447634</v>
      </c>
      <c r="I7" s="4">
        <f t="shared" si="0"/>
        <v>0.94483025607415083</v>
      </c>
      <c r="J7" s="2">
        <f t="shared" si="1"/>
        <v>875.28949743444343</v>
      </c>
      <c r="K7" s="2">
        <f t="shared" si="2"/>
        <v>1293.0844420406506</v>
      </c>
      <c r="L7" s="2">
        <f t="shared" si="3"/>
        <v>1221.7453044987683</v>
      </c>
      <c r="P7" t="s">
        <v>19</v>
      </c>
      <c r="Q7" s="4">
        <f t="shared" si="4"/>
        <v>0.94483025607415083</v>
      </c>
    </row>
    <row r="8" spans="1:20" x14ac:dyDescent="0.35">
      <c r="A8">
        <v>7</v>
      </c>
      <c r="C8" t="s">
        <v>20</v>
      </c>
      <c r="D8" s="3">
        <v>43312</v>
      </c>
      <c r="E8" s="2">
        <v>1571</v>
      </c>
      <c r="F8" s="5">
        <f t="shared" si="5"/>
        <v>1227.25</v>
      </c>
      <c r="G8" s="5">
        <f t="shared" si="6"/>
        <v>1303.75</v>
      </c>
      <c r="H8" s="4">
        <f t="shared" si="7"/>
        <v>0.94132310642377759</v>
      </c>
      <c r="I8" s="4">
        <f t="shared" si="0"/>
        <v>0.99705906873983907</v>
      </c>
      <c r="J8" s="2">
        <f t="shared" si="1"/>
        <v>1575.6338307875301</v>
      </c>
      <c r="K8" s="2">
        <f t="shared" si="2"/>
        <v>1329.155312455332</v>
      </c>
      <c r="L8" s="2">
        <f t="shared" si="3"/>
        <v>1325.2463580473232</v>
      </c>
      <c r="P8" t="s">
        <v>20</v>
      </c>
      <c r="Q8" s="4">
        <f t="shared" si="4"/>
        <v>0.99705906873983907</v>
      </c>
    </row>
    <row r="9" spans="1:20" x14ac:dyDescent="0.35">
      <c r="A9">
        <v>8</v>
      </c>
      <c r="C9" t="s">
        <v>21</v>
      </c>
      <c r="D9" s="3">
        <v>43343</v>
      </c>
      <c r="E9" s="2">
        <v>1547</v>
      </c>
      <c r="F9" s="5">
        <f t="shared" si="5"/>
        <v>1380.25</v>
      </c>
      <c r="G9" s="5">
        <f t="shared" si="6"/>
        <v>1448.875</v>
      </c>
      <c r="H9" s="4">
        <f t="shared" si="7"/>
        <v>0.95263566560262269</v>
      </c>
      <c r="I9" s="4">
        <f t="shared" si="0"/>
        <v>1.0287150758460364</v>
      </c>
      <c r="J9" s="2">
        <f t="shared" si="1"/>
        <v>1503.8177589919303</v>
      </c>
      <c r="K9" s="2">
        <f t="shared" si="2"/>
        <v>1365.2261828700134</v>
      </c>
      <c r="L9" s="2">
        <f t="shared" si="3"/>
        <v>1404.4287562581205</v>
      </c>
      <c r="P9" t="s">
        <v>21</v>
      </c>
      <c r="Q9" s="4">
        <f t="shared" si="4"/>
        <v>1.0287150758460364</v>
      </c>
    </row>
    <row r="10" spans="1:20" x14ac:dyDescent="0.35">
      <c r="A10">
        <v>9</v>
      </c>
      <c r="C10" t="s">
        <v>22</v>
      </c>
      <c r="D10" s="3">
        <v>43373</v>
      </c>
      <c r="E10" s="2">
        <v>1576</v>
      </c>
      <c r="F10" s="5">
        <f t="shared" si="5"/>
        <v>1517.5</v>
      </c>
      <c r="G10" s="5">
        <f t="shared" si="6"/>
        <v>1464.125</v>
      </c>
      <c r="H10" s="4">
        <f t="shared" si="7"/>
        <v>1.0364552206949542</v>
      </c>
      <c r="I10" s="4">
        <f t="shared" si="0"/>
        <v>1.1468131692000982</v>
      </c>
      <c r="J10" s="2">
        <f t="shared" si="1"/>
        <v>1374.2430260887738</v>
      </c>
      <c r="K10" s="2">
        <f t="shared" si="2"/>
        <v>1401.2970532846948</v>
      </c>
      <c r="L10" s="2">
        <f t="shared" si="3"/>
        <v>1607.0259146681799</v>
      </c>
      <c r="P10" t="s">
        <v>22</v>
      </c>
      <c r="Q10" s="4">
        <f t="shared" si="4"/>
        <v>1.1468131692000982</v>
      </c>
    </row>
    <row r="11" spans="1:20" x14ac:dyDescent="0.35">
      <c r="A11">
        <v>10</v>
      </c>
      <c r="C11" t="s">
        <v>23</v>
      </c>
      <c r="D11" s="3">
        <v>43404</v>
      </c>
      <c r="E11" s="2">
        <v>1376</v>
      </c>
      <c r="F11" s="5">
        <f t="shared" si="5"/>
        <v>1410.75</v>
      </c>
      <c r="G11" s="5">
        <f t="shared" si="6"/>
        <v>1360.875</v>
      </c>
      <c r="H11" s="4">
        <f t="shared" si="7"/>
        <v>1.036649214659686</v>
      </c>
      <c r="I11" s="4">
        <f t="shared" si="0"/>
        <v>1.0570620535278343</v>
      </c>
      <c r="J11" s="2">
        <f t="shared" si="1"/>
        <v>1301.721119784542</v>
      </c>
      <c r="K11" s="2">
        <f t="shared" si="2"/>
        <v>1437.367923699376</v>
      </c>
      <c r="L11" s="2">
        <f t="shared" si="3"/>
        <v>1519.3870891007018</v>
      </c>
      <c r="P11" t="s">
        <v>23</v>
      </c>
      <c r="Q11" s="4">
        <f t="shared" si="4"/>
        <v>1.0570620535278343</v>
      </c>
    </row>
    <row r="12" spans="1:20" x14ac:dyDescent="0.35">
      <c r="A12">
        <v>11</v>
      </c>
      <c r="C12" t="s">
        <v>24</v>
      </c>
      <c r="D12" s="3">
        <v>43434</v>
      </c>
      <c r="E12" s="2">
        <v>1144</v>
      </c>
      <c r="F12" s="5">
        <f t="shared" si="5"/>
        <v>1311</v>
      </c>
      <c r="G12" s="5">
        <f t="shared" si="6"/>
        <v>1283.75</v>
      </c>
      <c r="H12" s="4">
        <f t="shared" si="7"/>
        <v>1.0212268743914314</v>
      </c>
      <c r="I12" s="4">
        <f t="shared" si="0"/>
        <v>0.89115114433132614</v>
      </c>
      <c r="J12" s="2">
        <f t="shared" si="1"/>
        <v>1283.7328519152591</v>
      </c>
      <c r="K12" s="2">
        <f t="shared" si="2"/>
        <v>1473.4387941140574</v>
      </c>
      <c r="L12" s="2">
        <f t="shared" si="3"/>
        <v>1313.0566674769116</v>
      </c>
      <c r="P12" t="s">
        <v>24</v>
      </c>
      <c r="Q12" s="4">
        <f t="shared" si="4"/>
        <v>0.89115114433132614</v>
      </c>
    </row>
    <row r="13" spans="1:20" x14ac:dyDescent="0.35">
      <c r="A13">
        <v>12</v>
      </c>
      <c r="C13" t="s">
        <v>25</v>
      </c>
      <c r="D13" s="3">
        <v>43465</v>
      </c>
      <c r="E13" s="2">
        <v>1148</v>
      </c>
      <c r="F13" s="5">
        <f t="shared" si="5"/>
        <v>1256.5</v>
      </c>
      <c r="G13" s="5">
        <f t="shared" si="6"/>
        <v>1229.125</v>
      </c>
      <c r="H13" s="4">
        <f t="shared" si="7"/>
        <v>1.0222719414217432</v>
      </c>
      <c r="I13" s="4">
        <f t="shared" si="0"/>
        <v>0.94906556248661722</v>
      </c>
      <c r="J13" s="2">
        <f t="shared" si="1"/>
        <v>1209.6108481611752</v>
      </c>
      <c r="K13" s="2">
        <f t="shared" si="2"/>
        <v>1509.5096645287385</v>
      </c>
      <c r="L13" s="2">
        <f t="shared" si="3"/>
        <v>1432.6236388449522</v>
      </c>
      <c r="P13" t="s">
        <v>25</v>
      </c>
      <c r="Q13" s="4">
        <f t="shared" si="4"/>
        <v>0.94906556248661722</v>
      </c>
    </row>
    <row r="14" spans="1:20" x14ac:dyDescent="0.35">
      <c r="A14">
        <v>13</v>
      </c>
      <c r="B14">
        <v>2019</v>
      </c>
      <c r="C14" t="s">
        <v>13</v>
      </c>
      <c r="D14" s="3">
        <v>43496</v>
      </c>
      <c r="E14" s="2">
        <v>1358</v>
      </c>
      <c r="F14" s="5">
        <f t="shared" si="5"/>
        <v>1201.75</v>
      </c>
      <c r="G14" s="5">
        <f t="shared" si="6"/>
        <v>1230.25</v>
      </c>
      <c r="H14" s="4">
        <f t="shared" si="7"/>
        <v>0.97683397683397688</v>
      </c>
      <c r="I14" s="4">
        <f t="shared" si="0"/>
        <v>0.9882309666258644</v>
      </c>
      <c r="J14" s="2">
        <f t="shared" si="1"/>
        <v>1374.1726841819629</v>
      </c>
      <c r="K14" s="2">
        <f t="shared" si="2"/>
        <v>1545.5805349434199</v>
      </c>
      <c r="L14" s="2">
        <f t="shared" si="3"/>
        <v>1527.3905460452565</v>
      </c>
    </row>
    <row r="15" spans="1:20" x14ac:dyDescent="0.35">
      <c r="A15">
        <v>14</v>
      </c>
      <c r="C15" t="s">
        <v>15</v>
      </c>
      <c r="D15" s="3">
        <v>43524</v>
      </c>
      <c r="E15" s="2">
        <v>1157</v>
      </c>
      <c r="F15" s="5">
        <f t="shared" si="5"/>
        <v>1258.75</v>
      </c>
      <c r="G15" s="5">
        <f t="shared" si="6"/>
        <v>1331.125</v>
      </c>
      <c r="H15" s="4">
        <f t="shared" si="7"/>
        <v>0.94562869753028456</v>
      </c>
      <c r="I15" s="4">
        <f t="shared" si="0"/>
        <v>1.0514898698867066</v>
      </c>
      <c r="J15" s="2">
        <f t="shared" si="1"/>
        <v>1100.3434584915799</v>
      </c>
      <c r="K15" s="2">
        <f t="shared" si="2"/>
        <v>1581.6514053581013</v>
      </c>
      <c r="L15" s="2">
        <f t="shared" si="3"/>
        <v>1663.0904304261167</v>
      </c>
    </row>
    <row r="16" spans="1:20" x14ac:dyDescent="0.35">
      <c r="A16">
        <v>15</v>
      </c>
      <c r="C16" t="s">
        <v>16</v>
      </c>
      <c r="D16" s="3">
        <v>43555</v>
      </c>
      <c r="E16" s="2">
        <v>1372</v>
      </c>
      <c r="F16" s="5">
        <f t="shared" si="5"/>
        <v>1403.5</v>
      </c>
      <c r="G16" s="5">
        <f t="shared" si="6"/>
        <v>1509.625</v>
      </c>
      <c r="H16" s="4">
        <f t="shared" si="7"/>
        <v>0.92970108470646684</v>
      </c>
      <c r="I16" s="4">
        <f t="shared" si="0"/>
        <v>1.0268316402544138</v>
      </c>
      <c r="J16" s="2">
        <f t="shared" si="1"/>
        <v>1336.1489325164009</v>
      </c>
      <c r="K16" s="2">
        <f t="shared" si="2"/>
        <v>1617.7222757727827</v>
      </c>
      <c r="L16" s="2">
        <f t="shared" si="3"/>
        <v>1661.1284179078696</v>
      </c>
    </row>
    <row r="17" spans="1:12" x14ac:dyDescent="0.35">
      <c r="A17">
        <v>16</v>
      </c>
      <c r="C17" t="s">
        <v>17</v>
      </c>
      <c r="D17" s="3">
        <v>43585</v>
      </c>
      <c r="E17" s="2">
        <v>1727</v>
      </c>
      <c r="F17" s="5">
        <f t="shared" si="5"/>
        <v>1615.75</v>
      </c>
      <c r="G17" s="5">
        <f t="shared" si="6"/>
        <v>1756.875</v>
      </c>
      <c r="H17" s="4">
        <f t="shared" si="7"/>
        <v>0.91967271433653508</v>
      </c>
      <c r="I17" s="4">
        <f t="shared" si="0"/>
        <v>0.97614410504911486</v>
      </c>
      <c r="J17" s="2">
        <f t="shared" si="1"/>
        <v>1769.2059922987555</v>
      </c>
      <c r="K17" s="2">
        <f t="shared" si="2"/>
        <v>1653.7931461874641</v>
      </c>
      <c r="L17" s="2">
        <f t="shared" si="3"/>
        <v>1614.340430621522</v>
      </c>
    </row>
    <row r="18" spans="1:12" x14ac:dyDescent="0.35">
      <c r="A18">
        <v>17</v>
      </c>
      <c r="C18" t="s">
        <v>18</v>
      </c>
      <c r="D18" s="3">
        <v>43616</v>
      </c>
      <c r="E18" s="2">
        <v>2207</v>
      </c>
      <c r="F18" s="5">
        <f t="shared" si="5"/>
        <v>1898</v>
      </c>
      <c r="G18" s="5">
        <f t="shared" si="6"/>
        <v>2195.25</v>
      </c>
      <c r="H18" s="4">
        <f t="shared" si="7"/>
        <v>0.86459400979387313</v>
      </c>
      <c r="I18" s="4">
        <f t="shared" si="0"/>
        <v>0.93099712419684677</v>
      </c>
      <c r="J18" s="2">
        <f t="shared" si="1"/>
        <v>2370.5766029126421</v>
      </c>
      <c r="K18" s="2">
        <f t="shared" si="2"/>
        <v>1689.8640166021453</v>
      </c>
      <c r="L18" s="2">
        <f t="shared" si="3"/>
        <v>1573.2585397403298</v>
      </c>
    </row>
    <row r="19" spans="1:12" x14ac:dyDescent="0.35">
      <c r="A19">
        <v>18</v>
      </c>
      <c r="C19" t="s">
        <v>19</v>
      </c>
      <c r="D19" s="3">
        <v>43646</v>
      </c>
      <c r="E19" s="2">
        <v>2286</v>
      </c>
      <c r="F19" s="5">
        <f t="shared" si="5"/>
        <v>2492.5</v>
      </c>
      <c r="G19" s="5">
        <f t="shared" si="6"/>
        <v>2771.75</v>
      </c>
      <c r="H19" s="4">
        <f t="shared" si="7"/>
        <v>0.89925137548480205</v>
      </c>
      <c r="I19" s="4">
        <f t="shared" si="0"/>
        <v>0.94483025607415083</v>
      </c>
      <c r="J19" s="2">
        <f t="shared" si="1"/>
        <v>2419.4822141900095</v>
      </c>
      <c r="K19" s="2">
        <f t="shared" si="2"/>
        <v>1725.9348870168267</v>
      </c>
      <c r="L19" s="2">
        <f t="shared" si="3"/>
        <v>1630.7155012674189</v>
      </c>
    </row>
    <row r="20" spans="1:12" x14ac:dyDescent="0.35">
      <c r="A20">
        <v>19</v>
      </c>
      <c r="C20" t="s">
        <v>20</v>
      </c>
      <c r="D20" s="3">
        <v>43677</v>
      </c>
      <c r="E20" s="2">
        <v>3750</v>
      </c>
      <c r="F20" s="5">
        <f t="shared" si="5"/>
        <v>3051</v>
      </c>
      <c r="G20" s="5">
        <f t="shared" si="6"/>
        <v>2898</v>
      </c>
      <c r="H20" s="4">
        <f t="shared" si="7"/>
        <v>1.0527950310559007</v>
      </c>
      <c r="I20" s="4">
        <f t="shared" si="0"/>
        <v>0.99705906873983907</v>
      </c>
      <c r="J20" s="2">
        <f t="shared" si="1"/>
        <v>3761.0610219307691</v>
      </c>
      <c r="K20" s="2">
        <f t="shared" si="2"/>
        <v>1762.0057574315078</v>
      </c>
      <c r="L20" s="2">
        <f t="shared" si="3"/>
        <v>1756.823819618894</v>
      </c>
    </row>
    <row r="21" spans="1:12" x14ac:dyDescent="0.35">
      <c r="A21">
        <v>20</v>
      </c>
      <c r="C21" t="s">
        <v>21</v>
      </c>
      <c r="D21" s="3">
        <v>43708</v>
      </c>
      <c r="E21" s="2">
        <v>3961</v>
      </c>
      <c r="F21" s="5">
        <f t="shared" si="5"/>
        <v>2745</v>
      </c>
      <c r="G21" s="5">
        <f t="shared" si="6"/>
        <v>2484.625</v>
      </c>
      <c r="H21" s="4">
        <f t="shared" si="7"/>
        <v>1.1047944860894501</v>
      </c>
      <c r="I21" s="4">
        <f t="shared" si="0"/>
        <v>1.0287150758460364</v>
      </c>
      <c r="J21" s="2">
        <f t="shared" si="1"/>
        <v>3850.4344818145028</v>
      </c>
      <c r="K21" s="2">
        <f t="shared" si="2"/>
        <v>1798.0766278461892</v>
      </c>
      <c r="L21" s="2">
        <f t="shared" si="3"/>
        <v>1849.7085345917778</v>
      </c>
    </row>
    <row r="22" spans="1:12" x14ac:dyDescent="0.35">
      <c r="A22">
        <v>21</v>
      </c>
      <c r="C22" t="s">
        <v>22</v>
      </c>
      <c r="D22" s="3">
        <v>43738</v>
      </c>
      <c r="E22" s="2">
        <v>983</v>
      </c>
      <c r="F22" s="5">
        <f t="shared" si="5"/>
        <v>2224.25</v>
      </c>
      <c r="G22" s="5">
        <f t="shared" si="6"/>
        <v>1769.25</v>
      </c>
      <c r="H22" s="4">
        <f t="shared" si="7"/>
        <v>1.2571711177052423</v>
      </c>
      <c r="I22" s="4">
        <f t="shared" si="0"/>
        <v>1.1468131692000982</v>
      </c>
      <c r="J22" s="2">
        <f t="shared" si="1"/>
        <v>857.15792807440653</v>
      </c>
      <c r="K22" s="2">
        <f t="shared" si="2"/>
        <v>1834.1474982608706</v>
      </c>
      <c r="L22" s="2">
        <f t="shared" si="3"/>
        <v>2103.4245052609808</v>
      </c>
    </row>
    <row r="23" spans="1:12" x14ac:dyDescent="0.35">
      <c r="A23">
        <v>22</v>
      </c>
      <c r="C23" t="s">
        <v>23</v>
      </c>
      <c r="D23" s="3">
        <v>43769</v>
      </c>
      <c r="E23" s="2">
        <v>203</v>
      </c>
      <c r="F23" s="5">
        <f t="shared" si="5"/>
        <v>1314.25</v>
      </c>
      <c r="G23" s="5">
        <f t="shared" si="6"/>
        <v>1219.75</v>
      </c>
      <c r="H23" s="4">
        <f t="shared" si="7"/>
        <v>1.0774748923959827</v>
      </c>
      <c r="I23" s="4">
        <f t="shared" si="0"/>
        <v>1.0570620535278343</v>
      </c>
      <c r="J23" s="2">
        <f t="shared" si="1"/>
        <v>192.04170589844625</v>
      </c>
      <c r="K23" s="2">
        <f t="shared" si="2"/>
        <v>1870.218368675552</v>
      </c>
      <c r="L23" s="2">
        <f t="shared" si="3"/>
        <v>1976.9368693376555</v>
      </c>
    </row>
    <row r="24" spans="1:12" x14ac:dyDescent="0.35">
      <c r="A24">
        <v>23</v>
      </c>
      <c r="C24" t="s">
        <v>24</v>
      </c>
      <c r="D24" s="3">
        <v>43799</v>
      </c>
      <c r="E24" s="2">
        <v>110</v>
      </c>
      <c r="F24" s="5">
        <f t="shared" si="5"/>
        <v>1125.25</v>
      </c>
      <c r="G24" s="5">
        <f t="shared" si="6"/>
        <v>1478.5</v>
      </c>
      <c r="H24" s="4">
        <f t="shared" si="7"/>
        <v>0.76107541427122083</v>
      </c>
      <c r="I24" s="4">
        <f t="shared" si="0"/>
        <v>0.89115114433132614</v>
      </c>
      <c r="J24" s="2">
        <f t="shared" si="1"/>
        <v>123.435851145698</v>
      </c>
      <c r="K24" s="2">
        <f t="shared" si="2"/>
        <v>1906.2892390902334</v>
      </c>
      <c r="L24" s="2">
        <f t="shared" si="3"/>
        <v>1698.7918368417545</v>
      </c>
    </row>
    <row r="25" spans="1:12" x14ac:dyDescent="0.35">
      <c r="A25">
        <v>24</v>
      </c>
      <c r="C25" t="s">
        <v>25</v>
      </c>
      <c r="D25" s="3">
        <v>43830</v>
      </c>
      <c r="E25" s="2">
        <v>3205</v>
      </c>
      <c r="F25" s="5">
        <f t="shared" si="5"/>
        <v>1831.75</v>
      </c>
      <c r="G25" s="5">
        <f t="shared" si="6"/>
        <v>2091.375</v>
      </c>
      <c r="H25" s="4">
        <f t="shared" si="7"/>
        <v>0.87585918355149128</v>
      </c>
      <c r="I25" s="4">
        <f t="shared" si="0"/>
        <v>0.94906556248661722</v>
      </c>
      <c r="J25" s="2">
        <f t="shared" si="1"/>
        <v>3377.0058957809815</v>
      </c>
      <c r="K25" s="2">
        <f t="shared" si="2"/>
        <v>1942.3601095049146</v>
      </c>
      <c r="L25" s="2">
        <f t="shared" si="3"/>
        <v>1843.4270898788491</v>
      </c>
    </row>
    <row r="26" spans="1:12" x14ac:dyDescent="0.35">
      <c r="A26">
        <v>25</v>
      </c>
      <c r="B26">
        <v>2020</v>
      </c>
      <c r="C26" t="s">
        <v>13</v>
      </c>
      <c r="D26" s="3">
        <v>43861</v>
      </c>
      <c r="E26" s="2">
        <v>3809</v>
      </c>
      <c r="F26" s="5">
        <f t="shared" si="5"/>
        <v>2351</v>
      </c>
      <c r="G26" s="5">
        <f t="shared" si="6"/>
        <v>2351.875</v>
      </c>
      <c r="H26" s="4">
        <f t="shared" si="7"/>
        <v>0.99962795641775182</v>
      </c>
      <c r="I26" s="4">
        <f t="shared" si="0"/>
        <v>0.9882309666258644</v>
      </c>
      <c r="J26" s="2">
        <f t="shared" si="1"/>
        <v>3854.3621163837238</v>
      </c>
      <c r="K26" s="2">
        <f t="shared" si="2"/>
        <v>1978.430979919596</v>
      </c>
      <c r="L26" s="2">
        <f t="shared" si="3"/>
        <v>1955.1467596884984</v>
      </c>
    </row>
    <row r="27" spans="1:12" x14ac:dyDescent="0.35">
      <c r="A27">
        <v>26</v>
      </c>
      <c r="C27" t="s">
        <v>15</v>
      </c>
      <c r="D27" s="3">
        <v>43890</v>
      </c>
      <c r="E27" s="2">
        <v>2280</v>
      </c>
      <c r="F27" s="5">
        <f t="shared" si="5"/>
        <v>2352.75</v>
      </c>
      <c r="G27" s="5">
        <f t="shared" si="6"/>
        <v>2032.875</v>
      </c>
      <c r="H27" s="4">
        <f t="shared" si="7"/>
        <v>1.1573510422431286</v>
      </c>
      <c r="I27" s="4">
        <f t="shared" si="0"/>
        <v>1.0514898698867066</v>
      </c>
      <c r="J27" s="2">
        <f t="shared" si="1"/>
        <v>2168.3518456013849</v>
      </c>
      <c r="K27" s="2">
        <f t="shared" si="2"/>
        <v>2014.5018503342772</v>
      </c>
      <c r="L27" s="2">
        <f t="shared" si="3"/>
        <v>2118.2282884945189</v>
      </c>
    </row>
    <row r="28" spans="1:12" x14ac:dyDescent="0.35">
      <c r="A28">
        <v>27</v>
      </c>
      <c r="C28" t="s">
        <v>16</v>
      </c>
      <c r="D28" s="3">
        <v>43921</v>
      </c>
      <c r="E28" s="2">
        <v>117</v>
      </c>
      <c r="F28" s="5">
        <f t="shared" si="5"/>
        <v>1713</v>
      </c>
      <c r="G28" s="5">
        <f t="shared" si="6"/>
        <v>1531</v>
      </c>
      <c r="H28" s="4">
        <f t="shared" si="7"/>
        <v>1.1188765512736774</v>
      </c>
      <c r="I28" s="4">
        <f t="shared" si="0"/>
        <v>1.0268316402544138</v>
      </c>
      <c r="J28" s="2">
        <f t="shared" si="1"/>
        <v>113.94272966794381</v>
      </c>
      <c r="K28" s="2">
        <f t="shared" si="2"/>
        <v>2050.5727207489585</v>
      </c>
      <c r="L28" s="2">
        <f t="shared" si="3"/>
        <v>2105.592950307609</v>
      </c>
    </row>
    <row r="29" spans="1:12" x14ac:dyDescent="0.35">
      <c r="A29">
        <v>28</v>
      </c>
      <c r="C29" t="s">
        <v>17</v>
      </c>
      <c r="D29" s="3">
        <v>43951</v>
      </c>
      <c r="E29" s="2">
        <v>646</v>
      </c>
      <c r="F29" s="5">
        <f t="shared" si="5"/>
        <v>1349</v>
      </c>
      <c r="G29" s="5">
        <f t="shared" si="6"/>
        <v>1360.375</v>
      </c>
      <c r="H29" s="4">
        <f t="shared" si="7"/>
        <v>0.99163833501791787</v>
      </c>
      <c r="I29" s="4">
        <f t="shared" si="0"/>
        <v>0.97614410504911486</v>
      </c>
      <c r="J29" s="2">
        <f t="shared" si="1"/>
        <v>661.78753388824327</v>
      </c>
      <c r="K29" s="2">
        <f t="shared" si="2"/>
        <v>2086.6435911636399</v>
      </c>
      <c r="L29" s="2">
        <f t="shared" si="3"/>
        <v>2036.8648408529025</v>
      </c>
    </row>
    <row r="30" spans="1:12" x14ac:dyDescent="0.35">
      <c r="A30">
        <v>29</v>
      </c>
      <c r="C30" t="s">
        <v>18</v>
      </c>
      <c r="D30" s="3">
        <v>43982</v>
      </c>
      <c r="E30" s="2">
        <v>2353</v>
      </c>
      <c r="F30" s="5">
        <f t="shared" si="5"/>
        <v>1371.75</v>
      </c>
      <c r="G30" s="5">
        <f t="shared" si="6"/>
        <v>1441.125</v>
      </c>
      <c r="H30" s="4">
        <f t="shared" si="7"/>
        <v>0.95186052563101742</v>
      </c>
      <c r="I30" s="4">
        <f t="shared" si="0"/>
        <v>0.93099712419684677</v>
      </c>
      <c r="J30" s="2">
        <f t="shared" si="1"/>
        <v>2527.3977103096722</v>
      </c>
      <c r="K30" s="2">
        <f t="shared" si="2"/>
        <v>2122.7144615783213</v>
      </c>
      <c r="L30" s="2">
        <f t="shared" si="3"/>
        <v>1976.2410592204751</v>
      </c>
    </row>
    <row r="31" spans="1:12" x14ac:dyDescent="0.35">
      <c r="A31">
        <v>30</v>
      </c>
      <c r="C31" t="s">
        <v>19</v>
      </c>
      <c r="D31" s="3">
        <v>44012</v>
      </c>
      <c r="E31" s="2">
        <v>2371</v>
      </c>
      <c r="F31" s="5">
        <f t="shared" si="5"/>
        <v>1510.5</v>
      </c>
      <c r="G31" s="5">
        <f t="shared" si="6"/>
        <v>1519.25</v>
      </c>
      <c r="H31" s="4">
        <f t="shared" si="7"/>
        <v>0.99424057923317422</v>
      </c>
      <c r="I31" s="4">
        <f t="shared" si="0"/>
        <v>0.94483025607415083</v>
      </c>
      <c r="J31" s="2">
        <f t="shared" si="1"/>
        <v>2509.4454636240212</v>
      </c>
      <c r="K31" s="2">
        <f t="shared" si="2"/>
        <v>2158.7853319930027</v>
      </c>
      <c r="L31" s="2">
        <f t="shared" si="3"/>
        <v>2039.6856980360694</v>
      </c>
    </row>
    <row r="32" spans="1:12" x14ac:dyDescent="0.35">
      <c r="A32">
        <v>31</v>
      </c>
      <c r="C32" t="s">
        <v>20</v>
      </c>
      <c r="D32" s="3">
        <v>44043</v>
      </c>
      <c r="E32" s="5">
        <v>672</v>
      </c>
      <c r="F32" s="5">
        <f t="shared" si="5"/>
        <v>1528</v>
      </c>
      <c r="I32" s="4">
        <f t="shared" si="0"/>
        <v>0.99705906873983907</v>
      </c>
      <c r="J32" s="2">
        <f t="shared" si="1"/>
        <v>673.98213512999382</v>
      </c>
      <c r="K32" s="2">
        <f t="shared" si="2"/>
        <v>2194.8562024076837</v>
      </c>
      <c r="L32" s="2">
        <f t="shared" si="3"/>
        <v>2188.4012811904649</v>
      </c>
    </row>
    <row r="33" spans="1:12" x14ac:dyDescent="0.35">
      <c r="A33">
        <v>32</v>
      </c>
      <c r="C33" t="s">
        <v>21</v>
      </c>
      <c r="D33" s="3">
        <v>44074</v>
      </c>
      <c r="E33" s="5">
        <v>716</v>
      </c>
      <c r="I33" s="4">
        <f t="shared" si="0"/>
        <v>1.0287150758460364</v>
      </c>
      <c r="J33" s="2">
        <f t="shared" si="1"/>
        <v>696.01390784629734</v>
      </c>
      <c r="K33" s="2">
        <f t="shared" si="2"/>
        <v>2230.9270728223655</v>
      </c>
      <c r="L33" s="2">
        <f t="shared" si="3"/>
        <v>2294.9883129254358</v>
      </c>
    </row>
    <row r="34" spans="1:12" x14ac:dyDescent="0.35">
      <c r="A34" s="8">
        <v>33</v>
      </c>
      <c r="B34" s="8"/>
      <c r="C34" s="8" t="s">
        <v>22</v>
      </c>
      <c r="D34" s="9">
        <v>44104</v>
      </c>
      <c r="E34" s="8"/>
      <c r="F34" s="14"/>
      <c r="G34" s="8"/>
      <c r="H34" s="8"/>
      <c r="I34" s="10">
        <f t="shared" si="0"/>
        <v>1.1468131692000982</v>
      </c>
      <c r="J34" s="8"/>
      <c r="K34" s="15">
        <f t="shared" si="2"/>
        <v>2266.9979432370465</v>
      </c>
      <c r="L34" s="15">
        <f t="shared" si="3"/>
        <v>2599.8230958537815</v>
      </c>
    </row>
    <row r="35" spans="1:12" x14ac:dyDescent="0.35">
      <c r="A35" s="8">
        <v>34</v>
      </c>
      <c r="B35" s="8"/>
      <c r="C35" s="8" t="s">
        <v>23</v>
      </c>
      <c r="D35" s="9">
        <v>44135</v>
      </c>
      <c r="E35" s="8"/>
      <c r="F35" s="8"/>
      <c r="G35" s="8"/>
      <c r="H35" s="8"/>
      <c r="I35" s="10">
        <f t="shared" si="0"/>
        <v>1.0570620535278343</v>
      </c>
      <c r="J35" s="8"/>
      <c r="K35" s="15">
        <f t="shared" si="2"/>
        <v>2303.0688136517279</v>
      </c>
      <c r="L35" s="15">
        <f t="shared" si="3"/>
        <v>2434.4866495746087</v>
      </c>
    </row>
    <row r="36" spans="1:12" x14ac:dyDescent="0.35">
      <c r="A36" s="8">
        <v>35</v>
      </c>
      <c r="B36" s="8"/>
      <c r="C36" s="8" t="s">
        <v>24</v>
      </c>
      <c r="D36" s="9">
        <v>44165</v>
      </c>
      <c r="E36" s="8"/>
      <c r="F36" s="8"/>
      <c r="G36" s="8"/>
      <c r="H36" s="8"/>
      <c r="I36" s="10">
        <f t="shared" si="0"/>
        <v>0.89115114433132614</v>
      </c>
      <c r="J36" s="8"/>
      <c r="K36" s="15">
        <f t="shared" si="2"/>
        <v>2339.1396840664092</v>
      </c>
      <c r="L36" s="15">
        <f t="shared" si="3"/>
        <v>2084.5270062065974</v>
      </c>
    </row>
    <row r="37" spans="1:12" x14ac:dyDescent="0.35">
      <c r="A37" s="8">
        <v>36</v>
      </c>
      <c r="B37" s="8"/>
      <c r="C37" s="8" t="s">
        <v>25</v>
      </c>
      <c r="D37" s="9">
        <v>44196</v>
      </c>
      <c r="E37" s="8"/>
      <c r="F37" s="8"/>
      <c r="G37" s="8"/>
      <c r="H37" s="8"/>
      <c r="I37" s="10">
        <f t="shared" si="0"/>
        <v>0.94906556248661722</v>
      </c>
      <c r="J37" s="8"/>
      <c r="K37" s="15">
        <f t="shared" si="2"/>
        <v>2375.2105544810906</v>
      </c>
      <c r="L37" s="15">
        <f t="shared" si="3"/>
        <v>2254.2305409127462</v>
      </c>
    </row>
    <row r="38" spans="1:12" x14ac:dyDescent="0.35">
      <c r="A38" s="8">
        <v>37</v>
      </c>
      <c r="B38" s="8">
        <v>2021</v>
      </c>
      <c r="C38" s="8" t="s">
        <v>13</v>
      </c>
      <c r="D38" s="9">
        <v>44227</v>
      </c>
      <c r="E38" s="8"/>
      <c r="F38" s="8"/>
      <c r="G38" s="8"/>
      <c r="H38" s="8"/>
      <c r="I38" s="10">
        <f t="shared" si="0"/>
        <v>0.9882309666258644</v>
      </c>
      <c r="J38" s="8"/>
      <c r="K38" s="15">
        <f t="shared" si="2"/>
        <v>2411.281424895772</v>
      </c>
      <c r="L38" s="15">
        <f t="shared" si="3"/>
        <v>2382.9029733317407</v>
      </c>
    </row>
    <row r="39" spans="1:12" x14ac:dyDescent="0.35">
      <c r="A39">
        <v>38</v>
      </c>
      <c r="C39" t="s">
        <v>15</v>
      </c>
      <c r="D39" s="3">
        <v>44255</v>
      </c>
    </row>
    <row r="40" spans="1:12" x14ac:dyDescent="0.35">
      <c r="A40">
        <v>39</v>
      </c>
      <c r="C40" t="s">
        <v>16</v>
      </c>
      <c r="D40" s="3">
        <v>44286</v>
      </c>
    </row>
    <row r="41" spans="1:12" x14ac:dyDescent="0.35">
      <c r="A41">
        <v>40</v>
      </c>
      <c r="C41" t="s">
        <v>17</v>
      </c>
      <c r="D41" s="3">
        <v>44316</v>
      </c>
    </row>
    <row r="42" spans="1:12" x14ac:dyDescent="0.35">
      <c r="A42">
        <v>41</v>
      </c>
      <c r="C42" t="s">
        <v>18</v>
      </c>
      <c r="D42" s="3">
        <v>44347</v>
      </c>
    </row>
    <row r="43" spans="1:12" x14ac:dyDescent="0.35">
      <c r="A43">
        <v>42</v>
      </c>
      <c r="C43" t="s">
        <v>19</v>
      </c>
      <c r="D43" s="3">
        <v>44377</v>
      </c>
    </row>
    <row r="44" spans="1:12" x14ac:dyDescent="0.35">
      <c r="A44">
        <v>43</v>
      </c>
      <c r="C44" t="s">
        <v>20</v>
      </c>
      <c r="D44" s="3">
        <v>44408</v>
      </c>
    </row>
    <row r="45" spans="1:12" x14ac:dyDescent="0.35">
      <c r="A45">
        <v>44</v>
      </c>
      <c r="C45" t="s">
        <v>21</v>
      </c>
      <c r="D45" s="3">
        <v>44439</v>
      </c>
    </row>
    <row r="46" spans="1:12" x14ac:dyDescent="0.35">
      <c r="A46">
        <v>45</v>
      </c>
      <c r="C46" t="s">
        <v>22</v>
      </c>
      <c r="D46" s="3">
        <v>44469</v>
      </c>
    </row>
    <row r="47" spans="1:12" x14ac:dyDescent="0.35">
      <c r="A47">
        <v>46</v>
      </c>
      <c r="C47" t="s">
        <v>23</v>
      </c>
      <c r="D47" s="3">
        <v>44500</v>
      </c>
    </row>
    <row r="48" spans="1:12" x14ac:dyDescent="0.35">
      <c r="A48">
        <v>47</v>
      </c>
      <c r="C48" t="s">
        <v>24</v>
      </c>
      <c r="D48" s="3">
        <v>44530</v>
      </c>
    </row>
    <row r="49" spans="1:4" x14ac:dyDescent="0.35">
      <c r="A49">
        <v>48</v>
      </c>
      <c r="C49" t="s">
        <v>25</v>
      </c>
      <c r="D49" s="3">
        <v>44561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topLeftCell="A25" workbookViewId="0">
      <selection activeCell="O31" sqref="O31"/>
    </sheetView>
  </sheetViews>
  <sheetFormatPr defaultRowHeight="14.5" x14ac:dyDescent="0.35"/>
  <cols>
    <col min="3" max="3" width="9.81640625" bestFit="1" customWidth="1"/>
    <col min="4" max="4" width="10.54296875" bestFit="1" customWidth="1"/>
    <col min="6" max="6" width="9" bestFit="1" customWidth="1"/>
    <col min="12" max="12" width="9.81640625" bestFit="1" customWidth="1"/>
    <col min="13" max="13" width="10.5429687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26</v>
      </c>
      <c r="J1" t="s">
        <v>0</v>
      </c>
      <c r="K1" t="s">
        <v>1</v>
      </c>
      <c r="L1" t="s">
        <v>2</v>
      </c>
      <c r="M1" t="s">
        <v>3</v>
      </c>
      <c r="N1" s="1" t="s">
        <v>4</v>
      </c>
      <c r="O1" t="s">
        <v>27</v>
      </c>
    </row>
    <row r="2" spans="1:15" x14ac:dyDescent="0.35">
      <c r="A2">
        <v>1</v>
      </c>
      <c r="B2">
        <v>2018</v>
      </c>
      <c r="C2" t="s">
        <v>13</v>
      </c>
      <c r="D2" s="3">
        <v>43131</v>
      </c>
      <c r="E2" s="2">
        <v>34890</v>
      </c>
      <c r="J2">
        <v>1</v>
      </c>
      <c r="K2">
        <v>2018</v>
      </c>
      <c r="L2" t="s">
        <v>13</v>
      </c>
      <c r="M2" s="3">
        <v>43131</v>
      </c>
      <c r="N2" s="2">
        <v>34890</v>
      </c>
    </row>
    <row r="3" spans="1:15" x14ac:dyDescent="0.35">
      <c r="A3">
        <v>2</v>
      </c>
      <c r="C3" t="s">
        <v>15</v>
      </c>
      <c r="D3" s="3">
        <v>43159</v>
      </c>
      <c r="E3" s="2">
        <v>25830</v>
      </c>
      <c r="J3">
        <v>2</v>
      </c>
      <c r="L3" t="s">
        <v>15</v>
      </c>
      <c r="M3" s="3">
        <v>43159</v>
      </c>
      <c r="N3" s="2">
        <v>25830</v>
      </c>
    </row>
    <row r="4" spans="1:15" x14ac:dyDescent="0.35">
      <c r="A4">
        <v>3</v>
      </c>
      <c r="C4" t="s">
        <v>16</v>
      </c>
      <c r="D4" s="3">
        <v>43190</v>
      </c>
      <c r="E4" s="2">
        <v>41054</v>
      </c>
      <c r="J4">
        <v>3</v>
      </c>
      <c r="L4" t="s">
        <v>16</v>
      </c>
      <c r="M4" s="3">
        <v>43190</v>
      </c>
      <c r="N4" s="2">
        <v>41054</v>
      </c>
    </row>
    <row r="5" spans="1:15" x14ac:dyDescent="0.35">
      <c r="A5">
        <v>4</v>
      </c>
      <c r="C5" t="s">
        <v>17</v>
      </c>
      <c r="D5" s="3">
        <v>43220</v>
      </c>
      <c r="E5" s="2">
        <v>36838</v>
      </c>
      <c r="J5">
        <v>4</v>
      </c>
      <c r="L5" t="s">
        <v>17</v>
      </c>
      <c r="M5" s="3">
        <v>43220</v>
      </c>
      <c r="N5" s="2">
        <v>36838</v>
      </c>
    </row>
    <row r="6" spans="1:15" x14ac:dyDescent="0.35">
      <c r="A6">
        <v>5</v>
      </c>
      <c r="C6" t="s">
        <v>18</v>
      </c>
      <c r="D6" s="3">
        <v>43251</v>
      </c>
      <c r="E6" s="2">
        <v>56808</v>
      </c>
      <c r="J6">
        <v>5</v>
      </c>
      <c r="L6" t="s">
        <v>18</v>
      </c>
      <c r="M6" s="3">
        <v>43251</v>
      </c>
      <c r="N6" s="2">
        <v>56808</v>
      </c>
    </row>
    <row r="7" spans="1:15" x14ac:dyDescent="0.35">
      <c r="A7">
        <v>6</v>
      </c>
      <c r="C7" t="s">
        <v>19</v>
      </c>
      <c r="D7" s="3">
        <v>43281</v>
      </c>
      <c r="E7" s="2">
        <v>34939</v>
      </c>
      <c r="J7">
        <v>6</v>
      </c>
      <c r="L7" t="s">
        <v>19</v>
      </c>
      <c r="M7" s="3">
        <v>43281</v>
      </c>
      <c r="N7" s="2">
        <v>34939</v>
      </c>
    </row>
    <row r="8" spans="1:15" x14ac:dyDescent="0.35">
      <c r="A8">
        <v>7</v>
      </c>
      <c r="C8" t="s">
        <v>20</v>
      </c>
      <c r="D8" s="3">
        <v>43312</v>
      </c>
      <c r="E8" s="2">
        <v>41853</v>
      </c>
      <c r="J8">
        <v>7</v>
      </c>
      <c r="L8" t="s">
        <v>20</v>
      </c>
      <c r="M8" s="3">
        <v>43312</v>
      </c>
      <c r="N8" s="2">
        <v>41853</v>
      </c>
    </row>
    <row r="9" spans="1:15" x14ac:dyDescent="0.35">
      <c r="A9">
        <v>8</v>
      </c>
      <c r="C9" t="s">
        <v>21</v>
      </c>
      <c r="D9" s="3">
        <v>43343</v>
      </c>
      <c r="E9" s="2">
        <v>58036</v>
      </c>
      <c r="J9">
        <v>8</v>
      </c>
      <c r="L9" t="s">
        <v>21</v>
      </c>
      <c r="M9" s="3">
        <v>43343</v>
      </c>
      <c r="N9" s="2">
        <v>58036</v>
      </c>
    </row>
    <row r="10" spans="1:15" x14ac:dyDescent="0.35">
      <c r="A10">
        <v>9</v>
      </c>
      <c r="C10" t="s">
        <v>22</v>
      </c>
      <c r="D10" s="3">
        <v>43373</v>
      </c>
      <c r="E10" s="2">
        <v>42879</v>
      </c>
      <c r="J10">
        <v>9</v>
      </c>
      <c r="L10" t="s">
        <v>22</v>
      </c>
      <c r="M10" s="3">
        <v>43373</v>
      </c>
      <c r="N10" s="2">
        <v>42879</v>
      </c>
    </row>
    <row r="11" spans="1:15" x14ac:dyDescent="0.35">
      <c r="A11">
        <v>10</v>
      </c>
      <c r="C11" t="s">
        <v>23</v>
      </c>
      <c r="D11" s="3">
        <v>43404</v>
      </c>
      <c r="E11" s="2">
        <v>54081</v>
      </c>
      <c r="J11">
        <v>10</v>
      </c>
      <c r="L11" t="s">
        <v>23</v>
      </c>
      <c r="M11" s="3">
        <v>43404</v>
      </c>
      <c r="N11" s="2">
        <v>54081</v>
      </c>
    </row>
    <row r="12" spans="1:15" x14ac:dyDescent="0.35">
      <c r="A12">
        <v>11</v>
      </c>
      <c r="C12" t="s">
        <v>24</v>
      </c>
      <c r="D12" s="3">
        <v>43434</v>
      </c>
      <c r="E12" s="2">
        <v>31764</v>
      </c>
      <c r="J12">
        <v>11</v>
      </c>
      <c r="L12" t="s">
        <v>24</v>
      </c>
      <c r="M12" s="3">
        <v>43434</v>
      </c>
      <c r="N12" s="2">
        <v>31764</v>
      </c>
    </row>
    <row r="13" spans="1:15" x14ac:dyDescent="0.35">
      <c r="A13">
        <v>12</v>
      </c>
      <c r="C13" t="s">
        <v>25</v>
      </c>
      <c r="D13" s="3">
        <v>43465</v>
      </c>
      <c r="E13" s="2">
        <v>45101</v>
      </c>
      <c r="J13">
        <v>12</v>
      </c>
      <c r="L13" t="s">
        <v>25</v>
      </c>
      <c r="M13" s="3">
        <v>43465</v>
      </c>
      <c r="N13" s="2">
        <v>45101</v>
      </c>
    </row>
    <row r="14" spans="1:15" x14ac:dyDescent="0.35">
      <c r="A14">
        <v>13</v>
      </c>
      <c r="B14">
        <v>2019</v>
      </c>
      <c r="C14" t="s">
        <v>13</v>
      </c>
      <c r="D14" s="3">
        <v>43496</v>
      </c>
      <c r="E14" s="2">
        <v>61974</v>
      </c>
      <c r="J14">
        <v>13</v>
      </c>
      <c r="K14">
        <v>2019</v>
      </c>
      <c r="L14" t="s">
        <v>13</v>
      </c>
      <c r="M14" s="3">
        <v>43496</v>
      </c>
      <c r="N14" s="2">
        <v>61974</v>
      </c>
    </row>
    <row r="15" spans="1:15" x14ac:dyDescent="0.35">
      <c r="A15">
        <v>14</v>
      </c>
      <c r="C15" t="s">
        <v>15</v>
      </c>
      <c r="D15" s="3">
        <v>43524</v>
      </c>
      <c r="E15" s="2">
        <v>37927</v>
      </c>
      <c r="J15">
        <v>14</v>
      </c>
      <c r="L15" t="s">
        <v>15</v>
      </c>
      <c r="M15" s="3">
        <v>43524</v>
      </c>
      <c r="N15" s="2">
        <v>37927</v>
      </c>
    </row>
    <row r="16" spans="1:15" x14ac:dyDescent="0.35">
      <c r="A16">
        <v>15</v>
      </c>
      <c r="C16" t="s">
        <v>16</v>
      </c>
      <c r="D16" s="3">
        <v>43555</v>
      </c>
      <c r="E16" s="2">
        <v>59679</v>
      </c>
      <c r="J16">
        <v>15</v>
      </c>
      <c r="L16" t="s">
        <v>16</v>
      </c>
      <c r="M16" s="3">
        <v>43555</v>
      </c>
      <c r="N16" s="2">
        <v>59679</v>
      </c>
    </row>
    <row r="17" spans="1:15" x14ac:dyDescent="0.35">
      <c r="A17">
        <v>16</v>
      </c>
      <c r="C17" t="s">
        <v>17</v>
      </c>
      <c r="D17" s="3">
        <v>43585</v>
      </c>
      <c r="E17" s="2">
        <v>56163</v>
      </c>
      <c r="J17">
        <v>16</v>
      </c>
      <c r="L17" t="s">
        <v>17</v>
      </c>
      <c r="M17" s="3">
        <v>43585</v>
      </c>
      <c r="N17" s="2">
        <v>56163</v>
      </c>
    </row>
    <row r="18" spans="1:15" x14ac:dyDescent="0.35">
      <c r="A18">
        <v>17</v>
      </c>
      <c r="C18" t="s">
        <v>18</v>
      </c>
      <c r="D18" s="3">
        <v>43616</v>
      </c>
      <c r="E18" s="2">
        <v>118501</v>
      </c>
      <c r="J18">
        <v>17</v>
      </c>
      <c r="L18" t="s">
        <v>18</v>
      </c>
      <c r="M18" s="3">
        <v>43616</v>
      </c>
      <c r="N18" s="2">
        <v>118501</v>
      </c>
    </row>
    <row r="19" spans="1:15" x14ac:dyDescent="0.35">
      <c r="A19">
        <v>18</v>
      </c>
      <c r="C19" t="s">
        <v>19</v>
      </c>
      <c r="D19" s="3">
        <v>43646</v>
      </c>
      <c r="E19" s="2">
        <v>78698</v>
      </c>
      <c r="J19">
        <v>18</v>
      </c>
      <c r="L19" t="s">
        <v>19</v>
      </c>
      <c r="M19" s="3">
        <v>43646</v>
      </c>
      <c r="N19" s="2">
        <v>78698</v>
      </c>
    </row>
    <row r="20" spans="1:15" x14ac:dyDescent="0.35">
      <c r="A20">
        <v>19</v>
      </c>
      <c r="C20" t="s">
        <v>20</v>
      </c>
      <c r="D20" s="3">
        <v>43677</v>
      </c>
      <c r="E20" s="2">
        <v>109530</v>
      </c>
      <c r="J20">
        <v>19</v>
      </c>
      <c r="L20" t="s">
        <v>20</v>
      </c>
      <c r="M20" s="3">
        <v>43677</v>
      </c>
      <c r="N20" s="2">
        <v>109530</v>
      </c>
    </row>
    <row r="21" spans="1:15" x14ac:dyDescent="0.35">
      <c r="A21">
        <v>20</v>
      </c>
      <c r="C21" t="s">
        <v>21</v>
      </c>
      <c r="D21" s="3">
        <v>43708</v>
      </c>
      <c r="E21" s="2">
        <v>116775</v>
      </c>
      <c r="J21">
        <v>20</v>
      </c>
      <c r="L21" t="s">
        <v>21</v>
      </c>
      <c r="M21" s="3">
        <v>43708</v>
      </c>
      <c r="N21" s="2">
        <v>116775</v>
      </c>
    </row>
    <row r="22" spans="1:15" x14ac:dyDescent="0.35">
      <c r="A22">
        <v>21</v>
      </c>
      <c r="C22" t="s">
        <v>22</v>
      </c>
      <c r="D22" s="3">
        <v>43738</v>
      </c>
      <c r="E22" s="2">
        <v>115435</v>
      </c>
      <c r="J22">
        <v>21</v>
      </c>
      <c r="L22" t="s">
        <v>22</v>
      </c>
      <c r="M22" s="3">
        <v>43738</v>
      </c>
      <c r="N22" s="2">
        <v>115435</v>
      </c>
    </row>
    <row r="23" spans="1:15" x14ac:dyDescent="0.35">
      <c r="A23">
        <v>22</v>
      </c>
      <c r="C23" t="s">
        <v>23</v>
      </c>
      <c r="D23" s="3">
        <v>43769</v>
      </c>
      <c r="E23" s="2">
        <v>100006</v>
      </c>
      <c r="J23">
        <v>22</v>
      </c>
      <c r="L23" t="s">
        <v>23</v>
      </c>
      <c r="M23" s="3">
        <v>43769</v>
      </c>
      <c r="N23" s="2">
        <v>100006</v>
      </c>
    </row>
    <row r="24" spans="1:15" x14ac:dyDescent="0.35">
      <c r="A24">
        <v>23</v>
      </c>
      <c r="C24" t="s">
        <v>24</v>
      </c>
      <c r="D24" s="3">
        <v>43799</v>
      </c>
      <c r="E24" s="2">
        <v>105375</v>
      </c>
      <c r="J24">
        <v>23</v>
      </c>
      <c r="L24" t="s">
        <v>24</v>
      </c>
      <c r="M24" s="3">
        <v>43799</v>
      </c>
      <c r="N24" s="2">
        <v>105375</v>
      </c>
    </row>
    <row r="25" spans="1:15" x14ac:dyDescent="0.35">
      <c r="A25">
        <v>24</v>
      </c>
      <c r="C25" t="s">
        <v>25</v>
      </c>
      <c r="D25" s="3">
        <v>43830</v>
      </c>
      <c r="E25" s="2">
        <v>106477</v>
      </c>
      <c r="J25">
        <v>24</v>
      </c>
      <c r="L25" t="s">
        <v>25</v>
      </c>
      <c r="M25" s="3">
        <v>43830</v>
      </c>
      <c r="N25" s="2">
        <v>106477</v>
      </c>
    </row>
    <row r="26" spans="1:15" x14ac:dyDescent="0.35">
      <c r="A26">
        <v>25</v>
      </c>
      <c r="B26">
        <v>2020</v>
      </c>
      <c r="C26" t="s">
        <v>13</v>
      </c>
      <c r="D26" s="3">
        <v>43861</v>
      </c>
      <c r="E26" s="2">
        <v>82087</v>
      </c>
      <c r="J26">
        <v>25</v>
      </c>
      <c r="K26">
        <v>2020</v>
      </c>
      <c r="L26" t="s">
        <v>13</v>
      </c>
      <c r="M26" s="3">
        <v>43861</v>
      </c>
      <c r="N26" s="2">
        <v>82087</v>
      </c>
    </row>
    <row r="27" spans="1:15" x14ac:dyDescent="0.35">
      <c r="A27">
        <v>26</v>
      </c>
      <c r="C27" t="s">
        <v>15</v>
      </c>
      <c r="D27" s="3">
        <v>43890</v>
      </c>
      <c r="E27" s="2">
        <v>90055</v>
      </c>
      <c r="J27">
        <v>26</v>
      </c>
      <c r="L27" t="s">
        <v>15</v>
      </c>
      <c r="M27" s="3">
        <v>43890</v>
      </c>
      <c r="N27" s="2">
        <v>90055</v>
      </c>
    </row>
    <row r="28" spans="1:15" x14ac:dyDescent="0.35">
      <c r="A28">
        <v>27</v>
      </c>
      <c r="C28" t="s">
        <v>16</v>
      </c>
      <c r="D28" s="3">
        <v>43921</v>
      </c>
      <c r="E28" s="2">
        <v>77921</v>
      </c>
      <c r="J28">
        <v>27</v>
      </c>
      <c r="L28" t="s">
        <v>16</v>
      </c>
      <c r="M28" s="3">
        <v>43921</v>
      </c>
      <c r="N28" s="2">
        <v>77921</v>
      </c>
    </row>
    <row r="29" spans="1:15" x14ac:dyDescent="0.35">
      <c r="A29">
        <v>28</v>
      </c>
      <c r="C29" t="s">
        <v>17</v>
      </c>
      <c r="D29" s="3">
        <v>43951</v>
      </c>
      <c r="E29" s="2">
        <v>31224</v>
      </c>
      <c r="J29">
        <v>28</v>
      </c>
      <c r="L29" t="s">
        <v>20</v>
      </c>
      <c r="M29" s="3">
        <v>44043</v>
      </c>
      <c r="N29" s="2">
        <v>44506</v>
      </c>
    </row>
    <row r="30" spans="1:15" x14ac:dyDescent="0.35">
      <c r="A30">
        <v>29</v>
      </c>
      <c r="C30" t="s">
        <v>18</v>
      </c>
      <c r="D30" s="3">
        <v>43982</v>
      </c>
      <c r="E30" s="2">
        <v>23641</v>
      </c>
      <c r="J30">
        <v>29</v>
      </c>
      <c r="L30" t="s">
        <v>21</v>
      </c>
      <c r="M30" s="3">
        <v>44074</v>
      </c>
      <c r="N30" s="2">
        <v>55883</v>
      </c>
    </row>
    <row r="31" spans="1:15" x14ac:dyDescent="0.35">
      <c r="A31">
        <v>30</v>
      </c>
      <c r="C31" t="s">
        <v>19</v>
      </c>
      <c r="D31" s="3">
        <v>44012</v>
      </c>
      <c r="E31" s="2">
        <v>36735</v>
      </c>
      <c r="J31">
        <v>30</v>
      </c>
      <c r="L31" t="s">
        <v>22</v>
      </c>
      <c r="M31" s="3">
        <v>44104</v>
      </c>
      <c r="O31" s="2">
        <f>FORECAST(M31,$N$2:$N$30,$M$2:$M$30)</f>
        <v>102168.20066191396</v>
      </c>
    </row>
    <row r="32" spans="1:15" x14ac:dyDescent="0.35">
      <c r="A32">
        <v>31</v>
      </c>
      <c r="C32" t="s">
        <v>20</v>
      </c>
      <c r="D32" s="3">
        <v>44043</v>
      </c>
      <c r="E32" s="2">
        <v>44506</v>
      </c>
      <c r="J32">
        <v>31</v>
      </c>
      <c r="L32" t="s">
        <v>23</v>
      </c>
      <c r="M32" s="3">
        <v>44135</v>
      </c>
      <c r="O32" s="2">
        <f t="shared" ref="O32:O34" si="0">FORECAST(M32,$N$2:$N$30,$M$2:$M$30)</f>
        <v>104222.53546218527</v>
      </c>
    </row>
    <row r="33" spans="1:15" x14ac:dyDescent="0.35">
      <c r="A33">
        <v>32</v>
      </c>
      <c r="C33" t="s">
        <v>21</v>
      </c>
      <c r="D33" s="3">
        <v>44074</v>
      </c>
      <c r="E33" s="2">
        <v>55883</v>
      </c>
      <c r="J33">
        <v>32</v>
      </c>
      <c r="L33" t="s">
        <v>24</v>
      </c>
      <c r="M33" s="3">
        <v>44165</v>
      </c>
      <c r="O33" s="2">
        <f t="shared" si="0"/>
        <v>106210.60139793111</v>
      </c>
    </row>
    <row r="34" spans="1:15" x14ac:dyDescent="0.35">
      <c r="A34">
        <v>33</v>
      </c>
      <c r="C34" t="s">
        <v>22</v>
      </c>
      <c r="D34" s="3">
        <v>44104</v>
      </c>
      <c r="F34" s="2">
        <f>FORECAST(D34,$E$2:$E$33,$D$2:$D$33)</f>
        <v>81808.655547711533</v>
      </c>
      <c r="J34">
        <v>33</v>
      </c>
      <c r="L34" t="s">
        <v>25</v>
      </c>
      <c r="M34" s="3">
        <v>44196</v>
      </c>
      <c r="O34" s="2">
        <f t="shared" si="0"/>
        <v>108264.93619820243</v>
      </c>
    </row>
    <row r="35" spans="1:15" x14ac:dyDescent="0.35">
      <c r="A35">
        <v>34</v>
      </c>
      <c r="C35" t="s">
        <v>23</v>
      </c>
      <c r="D35" s="3">
        <v>44135</v>
      </c>
      <c r="F35" s="2">
        <f t="shared" ref="F35:F37" si="1">FORECAST(D35,$E$2:$E$33,$D$2:$D$33)</f>
        <v>82974.839741105912</v>
      </c>
    </row>
    <row r="36" spans="1:15" x14ac:dyDescent="0.35">
      <c r="A36">
        <v>35</v>
      </c>
      <c r="C36" t="s">
        <v>24</v>
      </c>
      <c r="D36" s="3">
        <v>44165</v>
      </c>
      <c r="F36" s="2">
        <f t="shared" si="1"/>
        <v>84103.405089552049</v>
      </c>
    </row>
    <row r="37" spans="1:15" x14ac:dyDescent="0.35">
      <c r="A37">
        <v>36</v>
      </c>
      <c r="C37" t="s">
        <v>25</v>
      </c>
      <c r="D37" s="3">
        <v>44196</v>
      </c>
      <c r="F37" s="2">
        <f t="shared" si="1"/>
        <v>85269.589282946661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G86"/>
  <sheetViews>
    <sheetView workbookViewId="0">
      <pane ySplit="1" topLeftCell="A65" activePane="bottomLeft" state="frozen"/>
      <selection pane="bottomLeft" activeCell="C79" sqref="C79"/>
    </sheetView>
  </sheetViews>
  <sheetFormatPr defaultRowHeight="14.5" x14ac:dyDescent="0.35"/>
  <cols>
    <col min="1" max="1" width="10.54296875" bestFit="1" customWidth="1"/>
    <col min="2" max="2" width="10.08984375" bestFit="1" customWidth="1"/>
    <col min="3" max="3" width="8.54296875" bestFit="1" customWidth="1"/>
    <col min="6" max="6" width="10.54296875" bestFit="1" customWidth="1"/>
  </cols>
  <sheetData>
    <row r="1" spans="1:6" x14ac:dyDescent="0.35">
      <c r="A1" t="s">
        <v>3</v>
      </c>
      <c r="B1" s="1" t="s">
        <v>4</v>
      </c>
      <c r="C1" t="s">
        <v>29</v>
      </c>
      <c r="E1" t="s">
        <v>28</v>
      </c>
      <c r="F1">
        <v>0.7</v>
      </c>
    </row>
    <row r="2" spans="1:6" x14ac:dyDescent="0.35">
      <c r="A2" s="3">
        <v>43131</v>
      </c>
      <c r="B2" s="2">
        <v>34890</v>
      </c>
      <c r="C2" s="2">
        <v>34890</v>
      </c>
    </row>
    <row r="3" spans="1:6" x14ac:dyDescent="0.35">
      <c r="A3" s="3">
        <v>43159</v>
      </c>
      <c r="B3" s="2">
        <v>25830</v>
      </c>
      <c r="C3" s="2">
        <f>($F$1*B2)+((1-$F$1)*C2)</f>
        <v>34890</v>
      </c>
      <c r="D3" s="5"/>
    </row>
    <row r="4" spans="1:6" x14ac:dyDescent="0.35">
      <c r="A4" s="3">
        <v>43190</v>
      </c>
      <c r="B4" s="2">
        <v>41054</v>
      </c>
      <c r="C4" s="2">
        <f t="shared" ref="C4:C43" si="0">($F$1*B3)+((1-$F$1)*C3)</f>
        <v>28548</v>
      </c>
    </row>
    <row r="5" spans="1:6" x14ac:dyDescent="0.35">
      <c r="A5" s="3">
        <v>43220</v>
      </c>
      <c r="B5" s="2">
        <v>36838</v>
      </c>
      <c r="C5" s="2">
        <f t="shared" si="0"/>
        <v>37302.199999999997</v>
      </c>
    </row>
    <row r="6" spans="1:6" x14ac:dyDescent="0.35">
      <c r="A6" s="3">
        <v>43251</v>
      </c>
      <c r="B6" s="2">
        <v>56808</v>
      </c>
      <c r="C6" s="2">
        <f t="shared" si="0"/>
        <v>36977.26</v>
      </c>
    </row>
    <row r="7" spans="1:6" x14ac:dyDescent="0.35">
      <c r="A7" s="3">
        <v>43281</v>
      </c>
      <c r="B7" s="2">
        <v>34939</v>
      </c>
      <c r="C7" s="2">
        <f t="shared" si="0"/>
        <v>50858.777999999998</v>
      </c>
    </row>
    <row r="8" spans="1:6" x14ac:dyDescent="0.35">
      <c r="A8" s="3">
        <v>43312</v>
      </c>
      <c r="B8" s="2">
        <v>41853</v>
      </c>
      <c r="C8" s="2">
        <f t="shared" si="0"/>
        <v>39714.933400000002</v>
      </c>
    </row>
    <row r="9" spans="1:6" x14ac:dyDescent="0.35">
      <c r="A9" s="3">
        <v>43343</v>
      </c>
      <c r="B9" s="2">
        <v>58036</v>
      </c>
      <c r="C9" s="2">
        <f t="shared" si="0"/>
        <v>41211.580020000001</v>
      </c>
    </row>
    <row r="10" spans="1:6" x14ac:dyDescent="0.35">
      <c r="A10" s="3">
        <v>43373</v>
      </c>
      <c r="B10" s="2">
        <v>42879</v>
      </c>
      <c r="C10" s="2">
        <f t="shared" si="0"/>
        <v>52988.674006000001</v>
      </c>
    </row>
    <row r="11" spans="1:6" x14ac:dyDescent="0.35">
      <c r="A11" s="3">
        <v>43404</v>
      </c>
      <c r="B11" s="2">
        <v>54081</v>
      </c>
      <c r="C11" s="2">
        <f t="shared" si="0"/>
        <v>45911.902201800003</v>
      </c>
    </row>
    <row r="12" spans="1:6" x14ac:dyDescent="0.35">
      <c r="A12" s="3">
        <v>43434</v>
      </c>
      <c r="B12" s="2">
        <v>31764</v>
      </c>
      <c r="C12" s="2">
        <f t="shared" si="0"/>
        <v>51630.270660540002</v>
      </c>
    </row>
    <row r="13" spans="1:6" x14ac:dyDescent="0.35">
      <c r="A13" s="3">
        <v>43465</v>
      </c>
      <c r="B13" s="2">
        <v>45101</v>
      </c>
      <c r="C13" s="2">
        <f t="shared" si="0"/>
        <v>37723.881198162002</v>
      </c>
    </row>
    <row r="14" spans="1:6" x14ac:dyDescent="0.35">
      <c r="A14" s="3">
        <v>43496</v>
      </c>
      <c r="B14" s="2">
        <v>61974</v>
      </c>
      <c r="C14" s="2">
        <f t="shared" si="0"/>
        <v>42887.864359448598</v>
      </c>
    </row>
    <row r="15" spans="1:6" x14ac:dyDescent="0.35">
      <c r="A15" s="3">
        <v>43524</v>
      </c>
      <c r="B15" s="2">
        <v>37927</v>
      </c>
      <c r="C15" s="2">
        <f t="shared" si="0"/>
        <v>56248.159307834576</v>
      </c>
    </row>
    <row r="16" spans="1:6" x14ac:dyDescent="0.35">
      <c r="A16" s="3">
        <v>43555</v>
      </c>
      <c r="B16" s="2">
        <v>59679</v>
      </c>
      <c r="C16" s="2">
        <f t="shared" si="0"/>
        <v>43423.347792350374</v>
      </c>
    </row>
    <row r="17" spans="1:3" x14ac:dyDescent="0.35">
      <c r="A17" s="3">
        <v>43585</v>
      </c>
      <c r="B17" s="2">
        <v>56163</v>
      </c>
      <c r="C17" s="2">
        <f t="shared" si="0"/>
        <v>54802.304337705107</v>
      </c>
    </row>
    <row r="18" spans="1:3" x14ac:dyDescent="0.35">
      <c r="A18" s="3">
        <v>43616</v>
      </c>
      <c r="B18" s="2">
        <v>118501</v>
      </c>
      <c r="C18" s="2">
        <f t="shared" si="0"/>
        <v>55754.791301311532</v>
      </c>
    </row>
    <row r="19" spans="1:3" x14ac:dyDescent="0.35">
      <c r="A19" s="3">
        <v>43646</v>
      </c>
      <c r="B19" s="2">
        <v>78698</v>
      </c>
      <c r="C19" s="2">
        <f t="shared" si="0"/>
        <v>99677.137390393458</v>
      </c>
    </row>
    <row r="20" spans="1:3" x14ac:dyDescent="0.35">
      <c r="A20" s="3">
        <v>43677</v>
      </c>
      <c r="B20" s="2">
        <v>109530</v>
      </c>
      <c r="C20" s="2">
        <f t="shared" si="0"/>
        <v>84991.741217118048</v>
      </c>
    </row>
    <row r="21" spans="1:3" x14ac:dyDescent="0.35">
      <c r="A21" s="3">
        <v>43708</v>
      </c>
      <c r="B21" s="2">
        <v>116775</v>
      </c>
      <c r="C21" s="2">
        <f t="shared" si="0"/>
        <v>102168.52236513542</v>
      </c>
    </row>
    <row r="22" spans="1:3" x14ac:dyDescent="0.35">
      <c r="A22" s="3">
        <v>43738</v>
      </c>
      <c r="B22" s="2">
        <v>115435</v>
      </c>
      <c r="C22" s="2">
        <f t="shared" si="0"/>
        <v>112393.05670954063</v>
      </c>
    </row>
    <row r="23" spans="1:3" x14ac:dyDescent="0.35">
      <c r="A23" s="3">
        <v>43769</v>
      </c>
      <c r="B23" s="2">
        <v>100006</v>
      </c>
      <c r="C23" s="2">
        <f t="shared" si="0"/>
        <v>114522.41701286219</v>
      </c>
    </row>
    <row r="24" spans="1:3" x14ac:dyDescent="0.35">
      <c r="A24" s="3">
        <v>43799</v>
      </c>
      <c r="B24" s="2">
        <v>105375</v>
      </c>
      <c r="C24" s="2">
        <f t="shared" si="0"/>
        <v>104360.92510385867</v>
      </c>
    </row>
    <row r="25" spans="1:3" x14ac:dyDescent="0.35">
      <c r="A25" s="3">
        <v>43830</v>
      </c>
      <c r="B25" s="2">
        <v>106477</v>
      </c>
      <c r="C25" s="2">
        <f t="shared" si="0"/>
        <v>105070.7775311576</v>
      </c>
    </row>
    <row r="26" spans="1:3" x14ac:dyDescent="0.35">
      <c r="A26" s="3">
        <v>43861</v>
      </c>
      <c r="B26" s="2">
        <v>82087</v>
      </c>
      <c r="C26" s="2">
        <f t="shared" si="0"/>
        <v>106055.13325934728</v>
      </c>
    </row>
    <row r="27" spans="1:3" x14ac:dyDescent="0.35">
      <c r="A27" s="3">
        <v>43890</v>
      </c>
      <c r="B27" s="2">
        <v>90055</v>
      </c>
      <c r="C27" s="2">
        <f t="shared" si="0"/>
        <v>89277.439977804184</v>
      </c>
    </row>
    <row r="28" spans="1:3" x14ac:dyDescent="0.35">
      <c r="A28" s="3">
        <v>43921</v>
      </c>
      <c r="B28" s="2">
        <v>77921</v>
      </c>
      <c r="C28" s="2">
        <f t="shared" si="0"/>
        <v>89821.731993341251</v>
      </c>
    </row>
    <row r="29" spans="1:3" x14ac:dyDescent="0.35">
      <c r="A29" s="3">
        <v>43951</v>
      </c>
      <c r="B29" s="2">
        <v>31224</v>
      </c>
      <c r="C29" s="2">
        <f t="shared" si="0"/>
        <v>81491.219598002383</v>
      </c>
    </row>
    <row r="30" spans="1:3" x14ac:dyDescent="0.35">
      <c r="A30" s="3">
        <v>43982</v>
      </c>
      <c r="B30" s="2">
        <v>23641</v>
      </c>
      <c r="C30" s="2">
        <f t="shared" si="0"/>
        <v>46304.165879400716</v>
      </c>
    </row>
    <row r="31" spans="1:3" x14ac:dyDescent="0.35">
      <c r="A31" s="3">
        <v>44012</v>
      </c>
      <c r="B31" s="2">
        <v>36735</v>
      </c>
      <c r="C31" s="2">
        <f t="shared" si="0"/>
        <v>30439.949763820216</v>
      </c>
    </row>
    <row r="32" spans="1:3" x14ac:dyDescent="0.35">
      <c r="A32" s="3">
        <v>44043</v>
      </c>
      <c r="B32" s="2">
        <v>44506</v>
      </c>
      <c r="C32" s="2">
        <f t="shared" si="0"/>
        <v>34846.48492914607</v>
      </c>
    </row>
    <row r="33" spans="1:7" x14ac:dyDescent="0.35">
      <c r="A33" s="3">
        <v>44074</v>
      </c>
      <c r="B33" s="2">
        <v>55883</v>
      </c>
      <c r="C33" s="2">
        <f t="shared" si="0"/>
        <v>41608.14547874382</v>
      </c>
    </row>
    <row r="34" spans="1:7" x14ac:dyDescent="0.35">
      <c r="A34" s="3">
        <v>44104</v>
      </c>
      <c r="B34" s="2">
        <v>68914</v>
      </c>
      <c r="C34" s="2">
        <f t="shared" si="0"/>
        <v>51600.543643623147</v>
      </c>
    </row>
    <row r="35" spans="1:7" x14ac:dyDescent="0.35">
      <c r="A35" s="3">
        <v>44135</v>
      </c>
      <c r="B35" s="2">
        <v>47439</v>
      </c>
      <c r="C35" s="2">
        <f t="shared" si="0"/>
        <v>63719.963093086946</v>
      </c>
    </row>
    <row r="36" spans="1:7" x14ac:dyDescent="0.35">
      <c r="A36" s="3">
        <v>44165</v>
      </c>
      <c r="B36" s="2">
        <v>75926</v>
      </c>
      <c r="C36" s="2">
        <f t="shared" si="0"/>
        <v>52323.288927926085</v>
      </c>
    </row>
    <row r="37" spans="1:7" x14ac:dyDescent="0.35">
      <c r="A37" s="3">
        <v>44196</v>
      </c>
      <c r="B37" s="2">
        <v>67387</v>
      </c>
      <c r="C37" s="2">
        <f t="shared" si="0"/>
        <v>68845.186678377824</v>
      </c>
    </row>
    <row r="38" spans="1:7" x14ac:dyDescent="0.35">
      <c r="A38" s="3">
        <v>44227</v>
      </c>
      <c r="B38" s="2">
        <v>60442</v>
      </c>
      <c r="C38" s="2">
        <f>($F$1*B37)+((1-$F$1)*C37)</f>
        <v>67824.456003513347</v>
      </c>
      <c r="F38" t="s">
        <v>30</v>
      </c>
      <c r="G38" t="s">
        <v>31</v>
      </c>
    </row>
    <row r="39" spans="1:7" x14ac:dyDescent="0.35">
      <c r="A39" s="3">
        <v>44255</v>
      </c>
      <c r="B39" s="2">
        <v>63811</v>
      </c>
      <c r="C39" s="2">
        <f t="shared" si="0"/>
        <v>62656.736801054001</v>
      </c>
      <c r="F39" s="3">
        <v>44012</v>
      </c>
      <c r="G39" s="5">
        <f t="shared" ref="G39:G42" si="1">SUM(C31:C34)</f>
        <v>158495.12381533327</v>
      </c>
    </row>
    <row r="40" spans="1:7" x14ac:dyDescent="0.35">
      <c r="A40" s="3">
        <v>44286</v>
      </c>
      <c r="B40" s="2">
        <v>55821</v>
      </c>
      <c r="C40" s="2">
        <f t="shared" si="0"/>
        <v>63464.721040316203</v>
      </c>
      <c r="F40" s="3">
        <v>44043</v>
      </c>
      <c r="G40" s="5">
        <f t="shared" si="1"/>
        <v>191775.13714459998</v>
      </c>
    </row>
    <row r="41" spans="1:7" x14ac:dyDescent="0.35">
      <c r="A41" s="3">
        <v>44316</v>
      </c>
      <c r="B41" s="2">
        <v>33014</v>
      </c>
      <c r="C41" s="2">
        <f t="shared" si="0"/>
        <v>58114.116312094862</v>
      </c>
      <c r="F41" s="3">
        <v>44074</v>
      </c>
      <c r="G41" s="5">
        <f t="shared" si="1"/>
        <v>209251.94114338001</v>
      </c>
    </row>
    <row r="42" spans="1:7" x14ac:dyDescent="0.35">
      <c r="A42" s="3">
        <v>44347</v>
      </c>
      <c r="B42" s="2">
        <v>11690</v>
      </c>
      <c r="C42" s="2">
        <f t="shared" si="0"/>
        <v>40544.034893628457</v>
      </c>
      <c r="F42" s="3">
        <v>44104</v>
      </c>
      <c r="G42" s="5">
        <f t="shared" si="1"/>
        <v>236488.98234301401</v>
      </c>
    </row>
    <row r="43" spans="1:7" x14ac:dyDescent="0.35">
      <c r="A43" s="3">
        <v>44377</v>
      </c>
      <c r="B43" s="2">
        <v>9100</v>
      </c>
      <c r="C43" s="2">
        <f t="shared" si="0"/>
        <v>20346.210468088539</v>
      </c>
      <c r="F43" s="3">
        <v>44135</v>
      </c>
      <c r="G43" s="5">
        <f t="shared" ref="G43:G48" si="2">SUM(C35:C38)</f>
        <v>252712.89470290422</v>
      </c>
    </row>
    <row r="44" spans="1:7" x14ac:dyDescent="0.35">
      <c r="A44" s="3">
        <v>44408</v>
      </c>
      <c r="B44" s="2">
        <v>8510</v>
      </c>
      <c r="C44" s="2">
        <f t="shared" ref="C44:C47" si="3">($F$1*B43)+((1-$F$1)*C43)</f>
        <v>12473.863140426562</v>
      </c>
      <c r="F44" s="3">
        <v>44165</v>
      </c>
      <c r="G44" s="5">
        <f t="shared" si="2"/>
        <v>251649.66841087127</v>
      </c>
    </row>
    <row r="45" spans="1:7" x14ac:dyDescent="0.35">
      <c r="A45" s="3">
        <v>44439</v>
      </c>
      <c r="B45" s="2">
        <v>10133</v>
      </c>
      <c r="C45" s="2">
        <f t="shared" si="3"/>
        <v>9699.1589421279696</v>
      </c>
      <c r="F45" s="3">
        <v>44196</v>
      </c>
      <c r="G45" s="5">
        <f t="shared" si="2"/>
        <v>262791.10052326135</v>
      </c>
    </row>
    <row r="46" spans="1:7" x14ac:dyDescent="0.35">
      <c r="A46" s="3">
        <v>44469</v>
      </c>
      <c r="B46" s="2">
        <v>10459</v>
      </c>
      <c r="C46" s="2">
        <f t="shared" si="3"/>
        <v>10002.84768263839</v>
      </c>
      <c r="F46" s="3">
        <v>44227</v>
      </c>
      <c r="G46" s="5">
        <f t="shared" si="2"/>
        <v>252060.03015697841</v>
      </c>
    </row>
    <row r="47" spans="1:7" x14ac:dyDescent="0.35">
      <c r="A47" s="3">
        <v>44500</v>
      </c>
      <c r="B47" s="2">
        <v>14893</v>
      </c>
      <c r="C47" s="2">
        <f t="shared" si="3"/>
        <v>10322.154304791517</v>
      </c>
      <c r="F47" s="3">
        <v>44255</v>
      </c>
      <c r="G47" s="5">
        <f t="shared" si="2"/>
        <v>224779.60904709349</v>
      </c>
    </row>
    <row r="48" spans="1:7" x14ac:dyDescent="0.35">
      <c r="A48" s="3">
        <v>44530</v>
      </c>
      <c r="B48" s="2">
        <v>20774</v>
      </c>
      <c r="C48" s="2">
        <f t="shared" ref="C48:C66" si="4">($F$1*B47)+((1-$F$1)*C47)</f>
        <v>13521.746291437454</v>
      </c>
      <c r="F48" s="3">
        <v>44286</v>
      </c>
      <c r="G48" s="5">
        <f t="shared" si="2"/>
        <v>182469.08271412805</v>
      </c>
    </row>
    <row r="49" spans="1:7" x14ac:dyDescent="0.35">
      <c r="A49" s="3">
        <v>44561</v>
      </c>
      <c r="B49" s="2">
        <v>32567</v>
      </c>
      <c r="C49" s="2">
        <f t="shared" si="4"/>
        <v>18598.323887431237</v>
      </c>
      <c r="F49" s="3">
        <v>44316</v>
      </c>
      <c r="G49" s="5">
        <f t="shared" ref="G49:G50" si="5">SUM(C41:C44)</f>
        <v>131478.22481423843</v>
      </c>
    </row>
    <row r="50" spans="1:7" x14ac:dyDescent="0.35">
      <c r="A50" s="3">
        <v>44592</v>
      </c>
      <c r="B50" s="2">
        <v>59844</v>
      </c>
      <c r="C50" s="2">
        <f t="shared" si="4"/>
        <v>28376.39716622937</v>
      </c>
      <c r="F50" s="3">
        <v>44347</v>
      </c>
      <c r="G50" s="5">
        <f t="shared" si="5"/>
        <v>83063.267444271522</v>
      </c>
    </row>
    <row r="51" spans="1:7" x14ac:dyDescent="0.35">
      <c r="A51" s="3">
        <v>44620</v>
      </c>
      <c r="B51" s="2">
        <v>21730</v>
      </c>
      <c r="C51" s="2">
        <f t="shared" si="4"/>
        <v>50403.719149868804</v>
      </c>
      <c r="F51" s="3">
        <v>44377</v>
      </c>
      <c r="G51" s="5">
        <f t="shared" ref="G51:G52" si="6">SUM(C43:C46)</f>
        <v>52522.080233281464</v>
      </c>
    </row>
    <row r="52" spans="1:7" x14ac:dyDescent="0.35">
      <c r="A52" s="3">
        <v>44651</v>
      </c>
      <c r="B52" s="2">
        <v>32597</v>
      </c>
      <c r="C52" s="2">
        <f t="shared" si="4"/>
        <v>30332.11574496064</v>
      </c>
      <c r="F52" s="3">
        <v>44408</v>
      </c>
      <c r="G52" s="5">
        <f t="shared" si="6"/>
        <v>42498.024069984443</v>
      </c>
    </row>
    <row r="53" spans="1:7" x14ac:dyDescent="0.35">
      <c r="A53" s="3">
        <v>44681</v>
      </c>
      <c r="B53" s="2">
        <v>25446</v>
      </c>
      <c r="C53" s="2">
        <f t="shared" si="4"/>
        <v>31917.534723488192</v>
      </c>
      <c r="F53" s="3">
        <v>44439</v>
      </c>
      <c r="G53" s="5">
        <f t="shared" ref="G53:G55" si="7">SUM(C45:C48)</f>
        <v>43545.90722099533</v>
      </c>
    </row>
    <row r="54" spans="1:7" x14ac:dyDescent="0.35">
      <c r="A54" s="3">
        <v>44712</v>
      </c>
      <c r="B54" s="16">
        <v>49191</v>
      </c>
      <c r="C54" s="2">
        <f t="shared" si="4"/>
        <v>27387.460417046455</v>
      </c>
      <c r="F54" s="3">
        <v>44469</v>
      </c>
      <c r="G54" s="5">
        <f t="shared" si="7"/>
        <v>52445.072166298596</v>
      </c>
    </row>
    <row r="55" spans="1:7" x14ac:dyDescent="0.35">
      <c r="A55" s="3">
        <v>44742</v>
      </c>
      <c r="B55" s="2">
        <v>32408</v>
      </c>
      <c r="C55" s="2">
        <f t="shared" si="4"/>
        <v>42649.938125113935</v>
      </c>
      <c r="F55" s="3">
        <v>44500</v>
      </c>
      <c r="G55" s="5">
        <f t="shared" si="7"/>
        <v>70818.621649889566</v>
      </c>
    </row>
    <row r="56" spans="1:7" x14ac:dyDescent="0.35">
      <c r="A56" s="3">
        <v>44773</v>
      </c>
      <c r="B56" s="2">
        <v>28554</v>
      </c>
      <c r="C56" s="2">
        <f t="shared" si="4"/>
        <v>35480.58143753418</v>
      </c>
      <c r="F56" s="3">
        <v>44530</v>
      </c>
      <c r="G56" s="5">
        <f t="shared" ref="G56:G57" si="8">SUM(C48:C51)</f>
        <v>110900.18649496687</v>
      </c>
    </row>
    <row r="57" spans="1:7" x14ac:dyDescent="0.35">
      <c r="A57" s="3">
        <v>44804</v>
      </c>
      <c r="B57" s="2">
        <v>44473</v>
      </c>
      <c r="C57" s="2">
        <f t="shared" ref="C57" si="9">($F$1*B56)+((1-$F$1)*C56)</f>
        <v>30631.974431260256</v>
      </c>
      <c r="F57" s="3">
        <v>44561</v>
      </c>
      <c r="G57" s="5">
        <f t="shared" si="8"/>
        <v>127710.55594849004</v>
      </c>
    </row>
    <row r="58" spans="1:7" x14ac:dyDescent="0.35">
      <c r="A58" s="3">
        <v>44834</v>
      </c>
      <c r="B58" s="2">
        <v>42148</v>
      </c>
      <c r="C58" s="2">
        <f t="shared" si="4"/>
        <v>40320.692329378078</v>
      </c>
      <c r="F58" s="3">
        <v>44592</v>
      </c>
      <c r="G58" s="5">
        <f t="shared" ref="G58:G71" si="10">SUM(C50:C53)</f>
        <v>141029.76678454701</v>
      </c>
    </row>
    <row r="59" spans="1:7" x14ac:dyDescent="0.35">
      <c r="A59" s="3">
        <v>44865</v>
      </c>
      <c r="B59" s="2">
        <v>40341</v>
      </c>
      <c r="C59" s="2">
        <f t="shared" ref="C59" si="11">($F$1*B58)+((1-$F$1)*C58)</f>
        <v>41599.807698813427</v>
      </c>
      <c r="F59" s="3">
        <v>44620</v>
      </c>
      <c r="G59" s="5">
        <f t="shared" si="10"/>
        <v>140040.83003536408</v>
      </c>
    </row>
    <row r="60" spans="1:7" x14ac:dyDescent="0.35">
      <c r="A60" s="3">
        <v>44895</v>
      </c>
      <c r="B60" s="2">
        <v>41282</v>
      </c>
      <c r="C60" s="2">
        <f t="shared" si="4"/>
        <v>40718.642309644027</v>
      </c>
      <c r="F60" s="3">
        <v>44651</v>
      </c>
      <c r="G60" s="5">
        <f t="shared" si="10"/>
        <v>132287.04901060922</v>
      </c>
    </row>
    <row r="61" spans="1:7" x14ac:dyDescent="0.35">
      <c r="A61" s="3">
        <v>44926</v>
      </c>
      <c r="B61" s="2">
        <v>40045</v>
      </c>
      <c r="C61" s="2">
        <f t="shared" si="4"/>
        <v>41112.992692893211</v>
      </c>
      <c r="F61" s="3">
        <v>44681</v>
      </c>
      <c r="G61" s="5">
        <f t="shared" si="10"/>
        <v>137435.51470318277</v>
      </c>
    </row>
    <row r="62" spans="1:7" x14ac:dyDescent="0.35">
      <c r="A62" s="3">
        <v>44957</v>
      </c>
      <c r="B62" s="2">
        <v>30805</v>
      </c>
      <c r="C62" s="2">
        <f t="shared" si="4"/>
        <v>40365.397807867965</v>
      </c>
      <c r="F62" s="3">
        <v>44712</v>
      </c>
      <c r="G62" s="5">
        <f t="shared" si="10"/>
        <v>136149.95441095482</v>
      </c>
    </row>
    <row r="63" spans="1:7" x14ac:dyDescent="0.35">
      <c r="A63" s="3">
        <v>44985</v>
      </c>
      <c r="B63" s="2">
        <v>36904</v>
      </c>
      <c r="C63" s="2">
        <f t="shared" si="4"/>
        <v>33673.119342360391</v>
      </c>
      <c r="F63" s="3">
        <v>44742</v>
      </c>
      <c r="G63" s="5">
        <f t="shared" si="10"/>
        <v>149083.18632328644</v>
      </c>
    </row>
    <row r="64" spans="1:7" x14ac:dyDescent="0.35">
      <c r="A64" s="3">
        <v>45016</v>
      </c>
      <c r="B64" s="2">
        <v>47258</v>
      </c>
      <c r="C64" s="2">
        <f t="shared" si="4"/>
        <v>35934.735802708121</v>
      </c>
      <c r="F64" s="3">
        <v>44773</v>
      </c>
      <c r="G64" s="5">
        <f t="shared" ref="G64" si="12">SUM(C56:C59)</f>
        <v>148033.05589698593</v>
      </c>
    </row>
    <row r="65" spans="1:7" x14ac:dyDescent="0.35">
      <c r="A65" s="3">
        <v>45046</v>
      </c>
      <c r="B65" s="2">
        <v>33977</v>
      </c>
      <c r="C65" s="2">
        <f t="shared" si="4"/>
        <v>43861.020740812441</v>
      </c>
      <c r="F65" s="3">
        <v>44804</v>
      </c>
      <c r="G65" s="5">
        <f t="shared" si="10"/>
        <v>153271.11676909577</v>
      </c>
    </row>
    <row r="66" spans="1:7" x14ac:dyDescent="0.35">
      <c r="A66" s="3">
        <v>45077</v>
      </c>
      <c r="B66" s="2">
        <v>51732</v>
      </c>
      <c r="C66" s="2">
        <f t="shared" si="4"/>
        <v>36942.206222243731</v>
      </c>
      <c r="D66" s="5">
        <f>C66-B66</f>
        <v>-14789.793777756269</v>
      </c>
      <c r="F66" s="3">
        <v>44834</v>
      </c>
      <c r="G66" s="5">
        <f t="shared" si="10"/>
        <v>163752.13503072876</v>
      </c>
    </row>
    <row r="67" spans="1:7" x14ac:dyDescent="0.35">
      <c r="A67" s="3">
        <v>45107</v>
      </c>
      <c r="B67" s="2">
        <v>42493</v>
      </c>
      <c r="C67" s="2">
        <f t="shared" ref="C67:C79" si="13">($F$1*B66)+((1-$F$1)*C66)</f>
        <v>47295.061866673117</v>
      </c>
      <c r="D67" s="5">
        <f t="shared" ref="D67:D77" si="14">C67-B67</f>
        <v>4802.061866673117</v>
      </c>
      <c r="F67" s="3">
        <v>44865</v>
      </c>
      <c r="G67" s="5">
        <f t="shared" si="10"/>
        <v>163796.84050921863</v>
      </c>
    </row>
    <row r="68" spans="1:7" x14ac:dyDescent="0.35">
      <c r="A68" s="3">
        <v>45138</v>
      </c>
      <c r="B68" s="2">
        <v>33368</v>
      </c>
      <c r="C68" s="2">
        <f t="shared" si="13"/>
        <v>43933.618560001938</v>
      </c>
      <c r="D68" s="5">
        <f t="shared" si="14"/>
        <v>10565.618560001938</v>
      </c>
      <c r="F68" s="3">
        <v>44895</v>
      </c>
      <c r="G68" s="5">
        <f t="shared" si="10"/>
        <v>155870.1521527656</v>
      </c>
    </row>
    <row r="69" spans="1:7" x14ac:dyDescent="0.35">
      <c r="A69" s="3">
        <v>45169</v>
      </c>
      <c r="B69" s="2">
        <v>52612</v>
      </c>
      <c r="C69" s="2">
        <f t="shared" si="13"/>
        <v>36537.685568000583</v>
      </c>
      <c r="D69" s="5">
        <f t="shared" si="14"/>
        <v>-16074.314431999417</v>
      </c>
      <c r="F69" s="3">
        <v>44926</v>
      </c>
      <c r="G69" s="5">
        <f t="shared" si="10"/>
        <v>151086.24564582971</v>
      </c>
    </row>
    <row r="70" spans="1:7" x14ac:dyDescent="0.35">
      <c r="A70" s="3">
        <v>45199</v>
      </c>
      <c r="B70" s="2">
        <v>52467</v>
      </c>
      <c r="C70" s="2">
        <f t="shared" si="13"/>
        <v>47789.705670400173</v>
      </c>
      <c r="D70" s="5">
        <f t="shared" si="14"/>
        <v>-4677.2943295998266</v>
      </c>
      <c r="F70" s="3">
        <v>44957</v>
      </c>
      <c r="G70" s="5">
        <f t="shared" si="10"/>
        <v>153834.27369374892</v>
      </c>
    </row>
    <row r="71" spans="1:7" x14ac:dyDescent="0.35">
      <c r="A71" s="3">
        <v>45230</v>
      </c>
      <c r="B71" s="2">
        <v>42235</v>
      </c>
      <c r="C71" s="2">
        <f t="shared" si="13"/>
        <v>51063.811701120052</v>
      </c>
      <c r="D71" s="5">
        <f t="shared" si="14"/>
        <v>8828.811701120052</v>
      </c>
      <c r="F71" s="3">
        <v>44985</v>
      </c>
      <c r="G71" s="5">
        <f t="shared" si="10"/>
        <v>150411.08210812468</v>
      </c>
    </row>
    <row r="72" spans="1:7" x14ac:dyDescent="0.35">
      <c r="A72" s="3">
        <v>45260</v>
      </c>
      <c r="B72" s="2">
        <v>59404</v>
      </c>
      <c r="C72" s="2">
        <f t="shared" si="13"/>
        <v>44883.643510336013</v>
      </c>
      <c r="D72" s="5">
        <f t="shared" si="14"/>
        <v>-14520.356489663987</v>
      </c>
      <c r="F72" s="3">
        <v>45016</v>
      </c>
      <c r="G72" s="5">
        <f t="shared" ref="G72:G82" si="15">SUM(C64:C67)</f>
        <v>164033.02463243742</v>
      </c>
    </row>
    <row r="73" spans="1:7" x14ac:dyDescent="0.35">
      <c r="A73" s="3">
        <v>45291</v>
      </c>
      <c r="B73" s="2">
        <v>52434</v>
      </c>
      <c r="C73" s="2">
        <f t="shared" si="13"/>
        <v>55047.893053100801</v>
      </c>
      <c r="D73" s="5">
        <f t="shared" si="14"/>
        <v>2613.8930531008009</v>
      </c>
      <c r="F73" s="3">
        <v>45046</v>
      </c>
      <c r="G73" s="5">
        <f t="shared" si="15"/>
        <v>172031.9073897312</v>
      </c>
    </row>
    <row r="74" spans="1:7" x14ac:dyDescent="0.35">
      <c r="A74" s="3">
        <v>45322</v>
      </c>
      <c r="B74" s="2">
        <v>52855</v>
      </c>
      <c r="C74" s="2">
        <f t="shared" si="13"/>
        <v>53218.167915930237</v>
      </c>
      <c r="D74" s="5">
        <f t="shared" si="14"/>
        <v>363.16791593023663</v>
      </c>
      <c r="F74" s="3">
        <v>45077</v>
      </c>
      <c r="G74" s="5">
        <f t="shared" si="15"/>
        <v>164708.57221691936</v>
      </c>
    </row>
    <row r="75" spans="1:7" x14ac:dyDescent="0.35">
      <c r="A75" s="3">
        <v>45351</v>
      </c>
      <c r="B75" s="2">
        <v>45697</v>
      </c>
      <c r="C75" s="2">
        <f t="shared" si="13"/>
        <v>52963.950374779073</v>
      </c>
      <c r="D75" s="5">
        <f t="shared" si="14"/>
        <v>7266.9503747790732</v>
      </c>
      <c r="F75" s="3">
        <v>45107</v>
      </c>
      <c r="G75" s="5">
        <f t="shared" si="15"/>
        <v>175556.07166507581</v>
      </c>
    </row>
    <row r="76" spans="1:7" x14ac:dyDescent="0.35">
      <c r="A76" s="3">
        <v>45382</v>
      </c>
      <c r="B76" s="19">
        <v>42815</v>
      </c>
      <c r="C76" s="2">
        <f t="shared" si="13"/>
        <v>47877.08511243372</v>
      </c>
      <c r="D76" s="5">
        <f t="shared" si="14"/>
        <v>5062.0851124337205</v>
      </c>
      <c r="F76" s="3">
        <v>45138</v>
      </c>
      <c r="G76" s="5">
        <f t="shared" si="15"/>
        <v>179324.82149952275</v>
      </c>
    </row>
    <row r="77" spans="1:7" x14ac:dyDescent="0.35">
      <c r="A77" s="3">
        <v>45412</v>
      </c>
      <c r="B77" s="19">
        <v>35800</v>
      </c>
      <c r="C77" s="2">
        <f>($F$1*B76)+((1-$F$1)*C76)</f>
        <v>44333.625533730112</v>
      </c>
      <c r="D77" s="5">
        <f t="shared" si="14"/>
        <v>8533.6255337301118</v>
      </c>
      <c r="F77" s="3">
        <v>45169</v>
      </c>
      <c r="G77" s="5">
        <f t="shared" si="15"/>
        <v>180274.84644985682</v>
      </c>
    </row>
    <row r="78" spans="1:7" x14ac:dyDescent="0.35">
      <c r="A78" s="3">
        <v>45443</v>
      </c>
      <c r="C78" s="2">
        <f t="shared" si="13"/>
        <v>38360.087660119039</v>
      </c>
      <c r="F78" s="3">
        <v>45199</v>
      </c>
      <c r="G78" s="5">
        <f t="shared" si="15"/>
        <v>198785.05393495702</v>
      </c>
    </row>
    <row r="79" spans="1:7" x14ac:dyDescent="0.35">
      <c r="A79" s="3">
        <v>45473</v>
      </c>
      <c r="C79" s="2">
        <f t="shared" si="13"/>
        <v>11508.026298035713</v>
      </c>
      <c r="F79" s="3">
        <v>45230</v>
      </c>
      <c r="G79" s="5">
        <f t="shared" si="15"/>
        <v>204213.51618048712</v>
      </c>
    </row>
    <row r="80" spans="1:7" x14ac:dyDescent="0.35">
      <c r="F80" s="3">
        <v>45260</v>
      </c>
      <c r="G80" s="5">
        <f t="shared" si="15"/>
        <v>206113.65485414612</v>
      </c>
    </row>
    <row r="81" spans="6:7" x14ac:dyDescent="0.35">
      <c r="F81" s="3">
        <v>45291</v>
      </c>
      <c r="G81" s="5">
        <f t="shared" si="15"/>
        <v>209107.09645624383</v>
      </c>
    </row>
    <row r="82" spans="6:7" x14ac:dyDescent="0.35">
      <c r="F82" s="3">
        <v>45322</v>
      </c>
      <c r="G82" s="5">
        <f t="shared" si="15"/>
        <v>198392.82893687315</v>
      </c>
    </row>
    <row r="83" spans="6:7" x14ac:dyDescent="0.35">
      <c r="F83" s="3">
        <v>45351</v>
      </c>
      <c r="G83" s="5">
        <f>SUM(C75:C78)</f>
        <v>183534.74868106196</v>
      </c>
    </row>
    <row r="84" spans="6:7" x14ac:dyDescent="0.35">
      <c r="F84" s="3">
        <v>45382</v>
      </c>
      <c r="G84" s="5">
        <f>SUM(C76:C79)</f>
        <v>142078.82460431859</v>
      </c>
    </row>
    <row r="85" spans="6:7" x14ac:dyDescent="0.35">
      <c r="F85" s="3">
        <v>45412</v>
      </c>
      <c r="G85" s="5">
        <f>SUM(C77:C80)</f>
        <v>94201.739491884859</v>
      </c>
    </row>
    <row r="86" spans="6:7" x14ac:dyDescent="0.35">
      <c r="F86" s="3" t="s">
        <v>35</v>
      </c>
      <c r="G86" s="5">
        <f>SUM(C78:C81)</f>
        <v>49868.113958154754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2E2D-78A8-4EE8-8D50-CFB0E3193FFF}">
  <sheetPr>
    <tabColor rgb="FF92D050"/>
  </sheetPr>
  <dimension ref="B3:F37"/>
  <sheetViews>
    <sheetView topLeftCell="A18" workbookViewId="0">
      <selection activeCell="B4" sqref="B4:B36"/>
    </sheetView>
  </sheetViews>
  <sheetFormatPr defaultRowHeight="14.5" x14ac:dyDescent="0.35"/>
  <cols>
    <col min="2" max="2" width="12.36328125" bestFit="1" customWidth="1"/>
    <col min="3" max="3" width="14.26953125" bestFit="1" customWidth="1"/>
    <col min="5" max="5" width="9.54296875" bestFit="1" customWidth="1"/>
    <col min="6" max="6" width="14.26953125" bestFit="1" customWidth="1"/>
  </cols>
  <sheetData>
    <row r="3" spans="2:6" x14ac:dyDescent="0.35">
      <c r="B3" s="104" t="s">
        <v>109</v>
      </c>
      <c r="C3" s="104" t="s">
        <v>110</v>
      </c>
      <c r="D3" s="104" t="s">
        <v>111</v>
      </c>
      <c r="E3" s="104" t="s">
        <v>3</v>
      </c>
      <c r="F3" t="s">
        <v>108</v>
      </c>
    </row>
    <row r="4" spans="2:6" x14ac:dyDescent="0.35">
      <c r="B4" t="s">
        <v>97</v>
      </c>
      <c r="C4" t="s">
        <v>104</v>
      </c>
      <c r="F4" s="48">
        <v>101774</v>
      </c>
    </row>
    <row r="5" spans="2:6" x14ac:dyDescent="0.35">
      <c r="C5" t="s">
        <v>105</v>
      </c>
      <c r="F5" s="48">
        <v>128585</v>
      </c>
    </row>
    <row r="6" spans="2:6" x14ac:dyDescent="0.35">
      <c r="C6" t="s">
        <v>106</v>
      </c>
      <c r="F6" s="48">
        <v>142768</v>
      </c>
    </row>
    <row r="7" spans="2:6" x14ac:dyDescent="0.35">
      <c r="C7" t="s">
        <v>107</v>
      </c>
      <c r="F7" s="48">
        <v>130946</v>
      </c>
    </row>
    <row r="8" spans="2:6" x14ac:dyDescent="0.35">
      <c r="B8" t="s">
        <v>112</v>
      </c>
      <c r="F8" s="48">
        <v>504073</v>
      </c>
    </row>
    <row r="9" spans="2:6" x14ac:dyDescent="0.35">
      <c r="B9" t="s">
        <v>98</v>
      </c>
      <c r="C9" t="s">
        <v>104</v>
      </c>
      <c r="F9" s="48">
        <v>159580</v>
      </c>
    </row>
    <row r="10" spans="2:6" x14ac:dyDescent="0.35">
      <c r="C10" t="s">
        <v>105</v>
      </c>
      <c r="F10" s="48">
        <v>253362</v>
      </c>
    </row>
    <row r="11" spans="2:6" x14ac:dyDescent="0.35">
      <c r="C11" t="s">
        <v>106</v>
      </c>
      <c r="F11" s="48">
        <v>341740</v>
      </c>
    </row>
    <row r="12" spans="2:6" x14ac:dyDescent="0.35">
      <c r="C12" t="s">
        <v>107</v>
      </c>
      <c r="F12" s="48">
        <v>311858</v>
      </c>
    </row>
    <row r="13" spans="2:6" x14ac:dyDescent="0.35">
      <c r="B13" t="s">
        <v>113</v>
      </c>
      <c r="F13" s="48">
        <v>1066540</v>
      </c>
    </row>
    <row r="14" spans="2:6" x14ac:dyDescent="0.35">
      <c r="B14" t="s">
        <v>99</v>
      </c>
      <c r="C14" t="s">
        <v>104</v>
      </c>
      <c r="F14" s="48">
        <v>250063</v>
      </c>
    </row>
    <row r="15" spans="2:6" x14ac:dyDescent="0.35">
      <c r="C15" t="s">
        <v>105</v>
      </c>
      <c r="F15" s="48">
        <v>91600</v>
      </c>
    </row>
    <row r="16" spans="2:6" x14ac:dyDescent="0.35">
      <c r="C16" t="s">
        <v>106</v>
      </c>
      <c r="F16" s="48">
        <v>169303</v>
      </c>
    </row>
    <row r="17" spans="2:6" x14ac:dyDescent="0.35">
      <c r="C17" t="s">
        <v>107</v>
      </c>
      <c r="F17" s="48">
        <v>190752</v>
      </c>
    </row>
    <row r="18" spans="2:6" x14ac:dyDescent="0.35">
      <c r="B18" t="s">
        <v>114</v>
      </c>
      <c r="F18" s="48">
        <v>701718</v>
      </c>
    </row>
    <row r="19" spans="2:6" x14ac:dyDescent="0.35">
      <c r="B19" t="s">
        <v>100</v>
      </c>
      <c r="C19" t="s">
        <v>104</v>
      </c>
      <c r="F19" s="48">
        <v>180074</v>
      </c>
    </row>
    <row r="20" spans="2:6" x14ac:dyDescent="0.35">
      <c r="C20" t="s">
        <v>105</v>
      </c>
      <c r="F20" s="48">
        <v>53804</v>
      </c>
    </row>
    <row r="21" spans="2:6" x14ac:dyDescent="0.35">
      <c r="C21" t="s">
        <v>106</v>
      </c>
      <c r="F21" s="48">
        <v>29102</v>
      </c>
    </row>
    <row r="22" spans="2:6" x14ac:dyDescent="0.35">
      <c r="C22" t="s">
        <v>107</v>
      </c>
      <c r="F22" s="48">
        <v>68234</v>
      </c>
    </row>
    <row r="23" spans="2:6" x14ac:dyDescent="0.35">
      <c r="B23" t="s">
        <v>115</v>
      </c>
      <c r="F23" s="48">
        <v>331214</v>
      </c>
    </row>
    <row r="24" spans="2:6" x14ac:dyDescent="0.35">
      <c r="B24" t="s">
        <v>101</v>
      </c>
      <c r="C24" t="s">
        <v>104</v>
      </c>
      <c r="F24" s="48">
        <v>114171</v>
      </c>
    </row>
    <row r="25" spans="2:6" x14ac:dyDescent="0.35">
      <c r="C25" t="s">
        <v>105</v>
      </c>
      <c r="F25" s="48">
        <v>107045</v>
      </c>
    </row>
    <row r="26" spans="2:6" x14ac:dyDescent="0.35">
      <c r="C26" t="s">
        <v>106</v>
      </c>
      <c r="F26" s="48">
        <v>115175</v>
      </c>
    </row>
    <row r="27" spans="2:6" x14ac:dyDescent="0.35">
      <c r="C27" t="s">
        <v>107</v>
      </c>
      <c r="F27" s="48">
        <v>121668</v>
      </c>
    </row>
    <row r="28" spans="2:6" x14ac:dyDescent="0.35">
      <c r="B28" t="s">
        <v>116</v>
      </c>
      <c r="F28" s="48">
        <v>458059</v>
      </c>
    </row>
    <row r="29" spans="2:6" x14ac:dyDescent="0.35">
      <c r="B29" t="s">
        <v>102</v>
      </c>
      <c r="C29" t="s">
        <v>104</v>
      </c>
      <c r="F29" s="48">
        <v>114967</v>
      </c>
    </row>
    <row r="30" spans="2:6" x14ac:dyDescent="0.35">
      <c r="C30" t="s">
        <v>105</v>
      </c>
      <c r="F30" s="48">
        <v>128202</v>
      </c>
    </row>
    <row r="31" spans="2:6" x14ac:dyDescent="0.35">
      <c r="C31" t="s">
        <v>106</v>
      </c>
      <c r="F31" s="48">
        <v>138447</v>
      </c>
    </row>
    <row r="32" spans="2:6" x14ac:dyDescent="0.35">
      <c r="C32" t="s">
        <v>107</v>
      </c>
      <c r="F32" s="48">
        <v>154073</v>
      </c>
    </row>
    <row r="33" spans="2:6" x14ac:dyDescent="0.35">
      <c r="B33" t="s">
        <v>117</v>
      </c>
      <c r="F33" s="48">
        <v>535689</v>
      </c>
    </row>
    <row r="34" spans="2:6" x14ac:dyDescent="0.35">
      <c r="B34" t="s">
        <v>103</v>
      </c>
      <c r="C34" t="s">
        <v>104</v>
      </c>
      <c r="F34" s="48">
        <v>141367</v>
      </c>
    </row>
    <row r="35" spans="2:6" x14ac:dyDescent="0.35">
      <c r="C35" t="s">
        <v>105</v>
      </c>
      <c r="F35" s="48">
        <v>35800</v>
      </c>
    </row>
    <row r="36" spans="2:6" x14ac:dyDescent="0.35">
      <c r="B36" t="s">
        <v>118</v>
      </c>
      <c r="F36" s="48">
        <v>177167</v>
      </c>
    </row>
    <row r="37" spans="2:6" x14ac:dyDescent="0.35">
      <c r="B37" t="s">
        <v>96</v>
      </c>
      <c r="F37" s="48">
        <v>3774460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902D-1A4F-4FCC-A8F9-07F21FD59241}">
  <sheetPr>
    <tabColor rgb="FF92D050"/>
  </sheetPr>
  <dimension ref="A1:L59"/>
  <sheetViews>
    <sheetView topLeftCell="C2" workbookViewId="0">
      <pane ySplit="1" topLeftCell="A15" activePane="bottomLeft" state="frozen"/>
      <selection activeCell="C2" sqref="C2"/>
      <selection pane="bottomLeft" activeCell="F29" sqref="F29"/>
    </sheetView>
  </sheetViews>
  <sheetFormatPr defaultRowHeight="14.5" x14ac:dyDescent="0.35"/>
  <cols>
    <col min="1" max="2" width="0" hidden="1" customWidth="1"/>
    <col min="3" max="3" width="16.54296875" bestFit="1" customWidth="1"/>
    <col min="4" max="4" width="16.54296875" customWidth="1"/>
    <col min="5" max="5" width="14.26953125" bestFit="1" customWidth="1"/>
    <col min="6" max="6" width="13.08984375" bestFit="1" customWidth="1"/>
  </cols>
  <sheetData>
    <row r="1" spans="1:8" hidden="1" x14ac:dyDescent="0.35"/>
    <row r="2" spans="1:8" x14ac:dyDescent="0.35">
      <c r="A2" t="s">
        <v>1</v>
      </c>
      <c r="B2" t="s">
        <v>1</v>
      </c>
      <c r="C2" s="105" t="s">
        <v>110</v>
      </c>
      <c r="D2" s="105" t="s">
        <v>3</v>
      </c>
      <c r="E2" s="105" t="s">
        <v>108</v>
      </c>
      <c r="F2" s="24" t="s">
        <v>29</v>
      </c>
      <c r="G2" s="24" t="s">
        <v>28</v>
      </c>
      <c r="H2" s="24">
        <v>0.7</v>
      </c>
    </row>
    <row r="3" spans="1:8" x14ac:dyDescent="0.35">
      <c r="A3" s="24" t="s">
        <v>97</v>
      </c>
      <c r="B3" s="24" t="str">
        <f>IF(A3="",B2,A3)</f>
        <v>2018</v>
      </c>
      <c r="C3" s="24" t="s">
        <v>104</v>
      </c>
      <c r="D3" s="24" t="str">
        <f>B3&amp;" "&amp;C3</f>
        <v>2018 Qtr1</v>
      </c>
      <c r="E3" s="19">
        <v>101774</v>
      </c>
      <c r="F3" s="19">
        <f>E3</f>
        <v>101774</v>
      </c>
    </row>
    <row r="4" spans="1:8" x14ac:dyDescent="0.35">
      <c r="A4" s="24"/>
      <c r="B4" s="24" t="str">
        <f t="shared" ref="B4:B27" si="0">IF(A4="",B3,A4)</f>
        <v>2018</v>
      </c>
      <c r="C4" s="24" t="s">
        <v>105</v>
      </c>
      <c r="D4" s="24" t="str">
        <f t="shared" ref="D4:D27" si="1">B4&amp;" "&amp;C4</f>
        <v>2018 Qtr2</v>
      </c>
      <c r="E4" s="19">
        <v>128585</v>
      </c>
      <c r="F4" s="2">
        <f>($H$2*E3)+((1-$H$2)*F3)</f>
        <v>101774</v>
      </c>
    </row>
    <row r="5" spans="1:8" x14ac:dyDescent="0.35">
      <c r="A5" s="24"/>
      <c r="B5" s="24" t="str">
        <f t="shared" si="0"/>
        <v>2018</v>
      </c>
      <c r="C5" s="24" t="s">
        <v>106</v>
      </c>
      <c r="D5" s="24" t="str">
        <f t="shared" si="1"/>
        <v>2018 Qtr3</v>
      </c>
      <c r="E5" s="19">
        <v>142768</v>
      </c>
      <c r="F5" s="2">
        <f t="shared" ref="F5:F29" si="2">($H$2*E4)+((1-$H$2)*F4)</f>
        <v>120541.70000000001</v>
      </c>
    </row>
    <row r="6" spans="1:8" x14ac:dyDescent="0.35">
      <c r="A6" s="106"/>
      <c r="B6" s="24" t="str">
        <f t="shared" si="0"/>
        <v>2018</v>
      </c>
      <c r="C6" s="24" t="s">
        <v>107</v>
      </c>
      <c r="D6" s="24" t="str">
        <f t="shared" si="1"/>
        <v>2018 Qtr4</v>
      </c>
      <c r="E6" s="19">
        <v>130946</v>
      </c>
      <c r="F6" s="2">
        <f t="shared" si="2"/>
        <v>136100.10999999999</v>
      </c>
    </row>
    <row r="7" spans="1:8" x14ac:dyDescent="0.35">
      <c r="A7" s="24" t="s">
        <v>98</v>
      </c>
      <c r="B7" s="24" t="str">
        <f t="shared" si="0"/>
        <v>2019</v>
      </c>
      <c r="C7" s="24" t="s">
        <v>104</v>
      </c>
      <c r="D7" s="24" t="str">
        <f t="shared" si="1"/>
        <v>2019 Qtr1</v>
      </c>
      <c r="E7" s="19">
        <v>159580</v>
      </c>
      <c r="F7" s="2">
        <f t="shared" si="2"/>
        <v>132492.23300000001</v>
      </c>
    </row>
    <row r="8" spans="1:8" x14ac:dyDescent="0.35">
      <c r="A8" s="24"/>
      <c r="B8" s="24" t="str">
        <f t="shared" si="0"/>
        <v>2019</v>
      </c>
      <c r="C8" s="24" t="s">
        <v>105</v>
      </c>
      <c r="D8" s="24" t="str">
        <f t="shared" si="1"/>
        <v>2019 Qtr2</v>
      </c>
      <c r="E8" s="19">
        <v>253362</v>
      </c>
      <c r="F8" s="2">
        <f t="shared" si="2"/>
        <v>151453.66990000001</v>
      </c>
    </row>
    <row r="9" spans="1:8" x14ac:dyDescent="0.35">
      <c r="A9" s="24"/>
      <c r="B9" s="24" t="str">
        <f t="shared" si="0"/>
        <v>2019</v>
      </c>
      <c r="C9" s="24" t="s">
        <v>106</v>
      </c>
      <c r="D9" s="24" t="str">
        <f t="shared" si="1"/>
        <v>2019 Qtr3</v>
      </c>
      <c r="E9" s="19">
        <v>341740</v>
      </c>
      <c r="F9" s="2">
        <f t="shared" si="2"/>
        <v>222789.50096999999</v>
      </c>
    </row>
    <row r="10" spans="1:8" x14ac:dyDescent="0.35">
      <c r="A10" s="106"/>
      <c r="B10" s="24" t="str">
        <f t="shared" si="0"/>
        <v>2019</v>
      </c>
      <c r="C10" s="24" t="s">
        <v>107</v>
      </c>
      <c r="D10" s="24" t="str">
        <f t="shared" si="1"/>
        <v>2019 Qtr4</v>
      </c>
      <c r="E10" s="19">
        <v>311858</v>
      </c>
      <c r="F10" s="2">
        <f t="shared" si="2"/>
        <v>306054.85029099998</v>
      </c>
    </row>
    <row r="11" spans="1:8" x14ac:dyDescent="0.35">
      <c r="A11" s="24" t="s">
        <v>99</v>
      </c>
      <c r="B11" s="24" t="str">
        <f t="shared" si="0"/>
        <v>2020</v>
      </c>
      <c r="C11" s="24" t="s">
        <v>104</v>
      </c>
      <c r="D11" s="24" t="str">
        <f t="shared" si="1"/>
        <v>2020 Qtr1</v>
      </c>
      <c r="E11" s="19">
        <v>250063</v>
      </c>
      <c r="F11" s="2">
        <f t="shared" si="2"/>
        <v>310117.05508730002</v>
      </c>
    </row>
    <row r="12" spans="1:8" x14ac:dyDescent="0.35">
      <c r="A12" s="24"/>
      <c r="B12" s="24" t="str">
        <f t="shared" si="0"/>
        <v>2020</v>
      </c>
      <c r="C12" s="24" t="s">
        <v>105</v>
      </c>
      <c r="D12" s="24" t="str">
        <f t="shared" si="1"/>
        <v>2020 Qtr2</v>
      </c>
      <c r="E12" s="19">
        <v>91600</v>
      </c>
      <c r="F12" s="2">
        <f t="shared" si="2"/>
        <v>268079.21652618999</v>
      </c>
    </row>
    <row r="13" spans="1:8" x14ac:dyDescent="0.35">
      <c r="A13" s="24"/>
      <c r="B13" s="24" t="str">
        <f t="shared" si="0"/>
        <v>2020</v>
      </c>
      <c r="C13" s="24" t="s">
        <v>106</v>
      </c>
      <c r="D13" s="24" t="str">
        <f t="shared" si="1"/>
        <v>2020 Qtr3</v>
      </c>
      <c r="E13" s="19">
        <v>169303</v>
      </c>
      <c r="F13" s="2">
        <f t="shared" si="2"/>
        <v>144543.764957857</v>
      </c>
    </row>
    <row r="14" spans="1:8" x14ac:dyDescent="0.35">
      <c r="A14" s="106"/>
      <c r="B14" s="24" t="str">
        <f t="shared" si="0"/>
        <v>2020</v>
      </c>
      <c r="C14" s="24" t="s">
        <v>107</v>
      </c>
      <c r="D14" s="24" t="str">
        <f t="shared" si="1"/>
        <v>2020 Qtr4</v>
      </c>
      <c r="E14" s="19">
        <v>190752</v>
      </c>
      <c r="F14" s="2">
        <f t="shared" si="2"/>
        <v>161875.22948735708</v>
      </c>
    </row>
    <row r="15" spans="1:8" x14ac:dyDescent="0.35">
      <c r="A15" s="24" t="s">
        <v>100</v>
      </c>
      <c r="B15" s="24" t="str">
        <f t="shared" si="0"/>
        <v>2021</v>
      </c>
      <c r="C15" s="24" t="s">
        <v>104</v>
      </c>
      <c r="D15" s="24" t="str">
        <f t="shared" si="1"/>
        <v>2021 Qtr1</v>
      </c>
      <c r="E15" s="19">
        <v>180074</v>
      </c>
      <c r="F15" s="2">
        <f t="shared" si="2"/>
        <v>182088.96884620714</v>
      </c>
    </row>
    <row r="16" spans="1:8" x14ac:dyDescent="0.35">
      <c r="A16" s="24"/>
      <c r="B16" s="24" t="str">
        <f t="shared" si="0"/>
        <v>2021</v>
      </c>
      <c r="C16" s="24" t="s">
        <v>105</v>
      </c>
      <c r="D16" s="24" t="str">
        <f t="shared" si="1"/>
        <v>2021 Qtr2</v>
      </c>
      <c r="E16" s="19">
        <v>53804</v>
      </c>
      <c r="F16" s="2">
        <f t="shared" si="2"/>
        <v>180678.49065386213</v>
      </c>
    </row>
    <row r="17" spans="1:12" x14ac:dyDescent="0.35">
      <c r="A17" s="24"/>
      <c r="B17" s="24" t="str">
        <f t="shared" si="0"/>
        <v>2021</v>
      </c>
      <c r="C17" s="24" t="s">
        <v>106</v>
      </c>
      <c r="D17" s="24" t="str">
        <f t="shared" si="1"/>
        <v>2021 Qtr3</v>
      </c>
      <c r="E17" s="19">
        <v>29102</v>
      </c>
      <c r="F17" s="2">
        <f t="shared" si="2"/>
        <v>91866.347196158633</v>
      </c>
    </row>
    <row r="18" spans="1:12" x14ac:dyDescent="0.35">
      <c r="A18" s="106"/>
      <c r="B18" s="24" t="str">
        <f t="shared" si="0"/>
        <v>2021</v>
      </c>
      <c r="C18" s="24" t="s">
        <v>107</v>
      </c>
      <c r="D18" s="24" t="str">
        <f t="shared" si="1"/>
        <v>2021 Qtr4</v>
      </c>
      <c r="E18" s="19">
        <v>68234</v>
      </c>
      <c r="F18" s="2">
        <f t="shared" si="2"/>
        <v>47931.30415884759</v>
      </c>
    </row>
    <row r="19" spans="1:12" x14ac:dyDescent="0.35">
      <c r="A19" s="24" t="s">
        <v>101</v>
      </c>
      <c r="B19" s="24" t="str">
        <f t="shared" si="0"/>
        <v>2022</v>
      </c>
      <c r="C19" s="24" t="s">
        <v>104</v>
      </c>
      <c r="D19" s="24" t="str">
        <f t="shared" si="1"/>
        <v>2022 Qtr1</v>
      </c>
      <c r="E19" s="19">
        <v>114171</v>
      </c>
      <c r="F19" s="2">
        <f t="shared" si="2"/>
        <v>62143.191247654278</v>
      </c>
    </row>
    <row r="20" spans="1:12" x14ac:dyDescent="0.35">
      <c r="A20" s="24"/>
      <c r="B20" s="24" t="str">
        <f t="shared" si="0"/>
        <v>2022</v>
      </c>
      <c r="C20" s="24" t="s">
        <v>105</v>
      </c>
      <c r="D20" s="24" t="str">
        <f t="shared" si="1"/>
        <v>2022 Qtr2</v>
      </c>
      <c r="E20" s="19">
        <v>107045</v>
      </c>
      <c r="F20" s="2">
        <f t="shared" si="2"/>
        <v>98562.657374296279</v>
      </c>
    </row>
    <row r="21" spans="1:12" x14ac:dyDescent="0.35">
      <c r="A21" s="24"/>
      <c r="B21" s="24" t="str">
        <f t="shared" si="0"/>
        <v>2022</v>
      </c>
      <c r="C21" s="24" t="s">
        <v>106</v>
      </c>
      <c r="D21" s="24" t="str">
        <f t="shared" si="1"/>
        <v>2022 Qtr3</v>
      </c>
      <c r="E21" s="19">
        <v>115175</v>
      </c>
      <c r="F21" s="2">
        <f t="shared" si="2"/>
        <v>104500.29721228889</v>
      </c>
    </row>
    <row r="22" spans="1:12" x14ac:dyDescent="0.35">
      <c r="A22" s="106"/>
      <c r="B22" s="24" t="str">
        <f t="shared" si="0"/>
        <v>2022</v>
      </c>
      <c r="C22" s="24" t="s">
        <v>107</v>
      </c>
      <c r="D22" s="24" t="str">
        <f t="shared" si="1"/>
        <v>2022 Qtr4</v>
      </c>
      <c r="E22" s="19">
        <v>121668</v>
      </c>
      <c r="F22" s="2">
        <f t="shared" si="2"/>
        <v>111972.58916368667</v>
      </c>
    </row>
    <row r="23" spans="1:12" x14ac:dyDescent="0.35">
      <c r="A23" s="24" t="s">
        <v>102</v>
      </c>
      <c r="B23" s="24" t="str">
        <f t="shared" si="0"/>
        <v>2023</v>
      </c>
      <c r="C23" s="24" t="s">
        <v>104</v>
      </c>
      <c r="D23" s="24" t="str">
        <f t="shared" si="1"/>
        <v>2023 Qtr1</v>
      </c>
      <c r="E23" s="19">
        <v>114967</v>
      </c>
      <c r="F23" s="2">
        <f t="shared" si="2"/>
        <v>118759.376749106</v>
      </c>
    </row>
    <row r="24" spans="1:12" x14ac:dyDescent="0.35">
      <c r="A24" s="24"/>
      <c r="B24" s="24" t="str">
        <f t="shared" si="0"/>
        <v>2023</v>
      </c>
      <c r="C24" s="24" t="s">
        <v>105</v>
      </c>
      <c r="D24" s="24" t="str">
        <f t="shared" si="1"/>
        <v>2023 Qtr2</v>
      </c>
      <c r="E24" s="19">
        <v>128202</v>
      </c>
      <c r="F24" s="2">
        <f t="shared" si="2"/>
        <v>116104.7130247318</v>
      </c>
    </row>
    <row r="25" spans="1:12" x14ac:dyDescent="0.35">
      <c r="A25" s="24"/>
      <c r="B25" s="24" t="str">
        <f t="shared" si="0"/>
        <v>2023</v>
      </c>
      <c r="C25" s="24" t="s">
        <v>106</v>
      </c>
      <c r="D25" s="24" t="str">
        <f t="shared" si="1"/>
        <v>2023 Qtr3</v>
      </c>
      <c r="E25" s="19">
        <v>138447</v>
      </c>
      <c r="F25" s="2">
        <f t="shared" si="2"/>
        <v>124572.81390741954</v>
      </c>
    </row>
    <row r="26" spans="1:12" x14ac:dyDescent="0.35">
      <c r="A26" s="106"/>
      <c r="B26" s="24" t="str">
        <f t="shared" si="0"/>
        <v>2023</v>
      </c>
      <c r="C26" s="24" t="s">
        <v>107</v>
      </c>
      <c r="D26" s="24" t="str">
        <f t="shared" si="1"/>
        <v>2023 Qtr4</v>
      </c>
      <c r="E26" s="19">
        <v>154073</v>
      </c>
      <c r="F26" s="2">
        <f t="shared" si="2"/>
        <v>134284.74417222585</v>
      </c>
    </row>
    <row r="27" spans="1:12" x14ac:dyDescent="0.35">
      <c r="A27" s="24" t="s">
        <v>103</v>
      </c>
      <c r="B27" s="24" t="str">
        <f t="shared" si="0"/>
        <v>2024</v>
      </c>
      <c r="C27" s="24" t="s">
        <v>104</v>
      </c>
      <c r="D27" s="24" t="str">
        <f t="shared" si="1"/>
        <v>2024 Qtr1</v>
      </c>
      <c r="E27" s="19">
        <v>141367</v>
      </c>
      <c r="F27" s="2">
        <f t="shared" si="2"/>
        <v>148136.52325166774</v>
      </c>
    </row>
    <row r="28" spans="1:12" x14ac:dyDescent="0.35">
      <c r="F28" s="2">
        <f t="shared" si="2"/>
        <v>143397.85697550033</v>
      </c>
    </row>
    <row r="29" spans="1:12" x14ac:dyDescent="0.35">
      <c r="F29" s="2">
        <f t="shared" si="2"/>
        <v>43019.357092650105</v>
      </c>
      <c r="I29" s="22" t="s">
        <v>36</v>
      </c>
      <c r="J29" s="22" t="s">
        <v>40</v>
      </c>
      <c r="K29" s="22" t="s">
        <v>38</v>
      </c>
      <c r="L29" s="22" t="s">
        <v>56</v>
      </c>
    </row>
    <row r="30" spans="1:12" x14ac:dyDescent="0.35">
      <c r="H30" t="s">
        <v>120</v>
      </c>
      <c r="I30" s="19" cm="1">
        <f t="array" ref="I30">SUMPRODUCT(ABS($E$20:$E$23-$F$20:$F$23))/COUNT($F$20:$F$23)</f>
        <v>8161.2082497085394</v>
      </c>
      <c r="J30" s="19">
        <f>(SUMXMY2($E$20:$E$23,$F$20:$F$23)/COUNT($F$20:$F$23))^0.5</f>
        <v>8577.3324629202089</v>
      </c>
      <c r="K30" s="23" cm="1">
        <f t="array" ref="K30">SUMPRODUCT(ABS(1-$F$20:$F$23/$E$20:$E$23))/COUNT($F$20:$F$23)</f>
        <v>7.114936457938284E-2</v>
      </c>
      <c r="L30" s="5" cm="1">
        <f t="array" ref="L30">SUM($F$20:$F$23-$E$20:$E$23)</f>
        <v>-25060.07950062216</v>
      </c>
    </row>
    <row r="31" spans="1:12" x14ac:dyDescent="0.35">
      <c r="H31" t="s">
        <v>119</v>
      </c>
      <c r="I31" s="19" cm="1">
        <f t="array" ref="I31">SUMPRODUCT(ABS($E$24:$E$27-$F$24:$F$27))/COUNT($F$24:$F$27)</f>
        <v>13132.313036822638</v>
      </c>
      <c r="J31" s="19">
        <f>(SUMXMY2($E$24:$E$27,$F$24:$F$27)/COUNT($F$24:$F$27))^0.5</f>
        <v>13930.532165479668</v>
      </c>
      <c r="K31" s="23" cm="1">
        <f t="array" ref="K31">SUMPRODUCT(ABS(1-$F$24:$F$27/$E$24:$E$27))/COUNT($F$24:$F$27)</f>
        <v>9.2723642037769671E-2</v>
      </c>
      <c r="L31" s="5" cm="1">
        <f t="array" ref="L31">SUM($F$24:$F$27-$E$24:$E$27)</f>
        <v>-38990.20564395508</v>
      </c>
    </row>
    <row r="34" spans="3:4" x14ac:dyDescent="0.35">
      <c r="C34" s="24"/>
      <c r="D34" s="24"/>
    </row>
    <row r="35" spans="3:4" x14ac:dyDescent="0.35">
      <c r="C35" s="24"/>
      <c r="D35" s="24"/>
    </row>
    <row r="36" spans="3:4" x14ac:dyDescent="0.35">
      <c r="C36" s="24"/>
      <c r="D36" s="24"/>
    </row>
    <row r="37" spans="3:4" x14ac:dyDescent="0.35">
      <c r="C37" s="106"/>
      <c r="D37" s="107"/>
    </row>
    <row r="38" spans="3:4" x14ac:dyDescent="0.35">
      <c r="C38" s="24"/>
      <c r="D38" s="24"/>
    </row>
    <row r="39" spans="3:4" x14ac:dyDescent="0.35">
      <c r="C39" s="24"/>
      <c r="D39" s="24"/>
    </row>
    <row r="40" spans="3:4" x14ac:dyDescent="0.35">
      <c r="C40" s="24"/>
      <c r="D40" s="24"/>
    </row>
    <row r="41" spans="3:4" x14ac:dyDescent="0.35">
      <c r="C41" s="106"/>
      <c r="D41" s="107"/>
    </row>
    <row r="42" spans="3:4" x14ac:dyDescent="0.35">
      <c r="C42" s="24"/>
      <c r="D42" s="24"/>
    </row>
    <row r="43" spans="3:4" x14ac:dyDescent="0.35">
      <c r="C43" s="24"/>
      <c r="D43" s="24"/>
    </row>
    <row r="44" spans="3:4" x14ac:dyDescent="0.35">
      <c r="C44" s="24"/>
      <c r="D44" s="24"/>
    </row>
    <row r="45" spans="3:4" x14ac:dyDescent="0.35">
      <c r="C45" s="106"/>
      <c r="D45" s="107"/>
    </row>
    <row r="46" spans="3:4" x14ac:dyDescent="0.35">
      <c r="C46" s="24"/>
      <c r="D46" s="24"/>
    </row>
    <row r="47" spans="3:4" x14ac:dyDescent="0.35">
      <c r="C47" s="24"/>
      <c r="D47" s="24"/>
    </row>
    <row r="48" spans="3:4" x14ac:dyDescent="0.35">
      <c r="C48" s="24"/>
      <c r="D48" s="24"/>
    </row>
    <row r="49" spans="3:4" x14ac:dyDescent="0.35">
      <c r="C49" s="106"/>
      <c r="D49" s="107"/>
    </row>
    <row r="50" spans="3:4" x14ac:dyDescent="0.35">
      <c r="C50" s="24"/>
      <c r="D50" s="24"/>
    </row>
    <row r="51" spans="3:4" x14ac:dyDescent="0.35">
      <c r="C51" s="24"/>
      <c r="D51" s="24"/>
    </row>
    <row r="52" spans="3:4" x14ac:dyDescent="0.35">
      <c r="C52" s="24"/>
      <c r="D52" s="24"/>
    </row>
    <row r="53" spans="3:4" x14ac:dyDescent="0.35">
      <c r="C53" s="106"/>
      <c r="D53" s="107"/>
    </row>
    <row r="54" spans="3:4" x14ac:dyDescent="0.35">
      <c r="C54" s="24"/>
      <c r="D54" s="24"/>
    </row>
    <row r="55" spans="3:4" x14ac:dyDescent="0.35">
      <c r="C55" s="24"/>
      <c r="D55" s="24"/>
    </row>
    <row r="56" spans="3:4" x14ac:dyDescent="0.35">
      <c r="C56" s="24"/>
      <c r="D56" s="24"/>
    </row>
    <row r="57" spans="3:4" x14ac:dyDescent="0.35">
      <c r="C57" s="106"/>
      <c r="D57" s="107"/>
    </row>
    <row r="58" spans="3:4" x14ac:dyDescent="0.35">
      <c r="C58" s="24"/>
      <c r="D58" s="24"/>
    </row>
    <row r="59" spans="3:4" x14ac:dyDescent="0.35">
      <c r="C59" s="106"/>
      <c r="D59" s="107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355F-C70D-42FD-9AA1-6594A8BC5A89}">
  <sheetPr>
    <tabColor rgb="FF92D050"/>
  </sheetPr>
  <dimension ref="A1:L59"/>
  <sheetViews>
    <sheetView topLeftCell="C2" workbookViewId="0">
      <pane ySplit="1" topLeftCell="A15" activePane="bottomLeft" state="frozen"/>
      <selection activeCell="C2" sqref="C2"/>
      <selection pane="bottomLeft" activeCell="F29" sqref="F29"/>
    </sheetView>
  </sheetViews>
  <sheetFormatPr defaultRowHeight="14.5" x14ac:dyDescent="0.35"/>
  <cols>
    <col min="1" max="2" width="0" hidden="1" customWidth="1"/>
    <col min="3" max="3" width="16.54296875" bestFit="1" customWidth="1"/>
    <col min="4" max="4" width="16.54296875" customWidth="1"/>
    <col min="5" max="5" width="14.26953125" bestFit="1" customWidth="1"/>
    <col min="6" max="6" width="13.08984375" bestFit="1" customWidth="1"/>
  </cols>
  <sheetData>
    <row r="1" spans="1:8" hidden="1" x14ac:dyDescent="0.35"/>
    <row r="2" spans="1:8" x14ac:dyDescent="0.35">
      <c r="A2" t="s">
        <v>1</v>
      </c>
      <c r="B2" t="s">
        <v>1</v>
      </c>
      <c r="C2" s="105" t="s">
        <v>110</v>
      </c>
      <c r="D2" s="105" t="s">
        <v>3</v>
      </c>
      <c r="E2" s="105" t="s">
        <v>108</v>
      </c>
      <c r="F2" s="24" t="s">
        <v>29</v>
      </c>
      <c r="G2" s="24" t="s">
        <v>28</v>
      </c>
      <c r="H2" s="24">
        <v>0.85917717489547274</v>
      </c>
    </row>
    <row r="3" spans="1:8" x14ac:dyDescent="0.35">
      <c r="A3" s="24" t="s">
        <v>97</v>
      </c>
      <c r="B3" s="24" t="str">
        <f>IF(A3="",B2,A3)</f>
        <v>2018</v>
      </c>
      <c r="C3" s="24" t="s">
        <v>104</v>
      </c>
      <c r="D3" s="24" t="str">
        <f>B3&amp;" "&amp;C3</f>
        <v>2018 Qtr1</v>
      </c>
      <c r="E3" s="19">
        <v>101774</v>
      </c>
      <c r="F3" s="19">
        <f>E3</f>
        <v>101774</v>
      </c>
    </row>
    <row r="4" spans="1:8" x14ac:dyDescent="0.35">
      <c r="A4" s="24"/>
      <c r="B4" s="24" t="str">
        <f t="shared" ref="B4:B27" si="0">IF(A4="",B3,A4)</f>
        <v>2018</v>
      </c>
      <c r="C4" s="24" t="s">
        <v>105</v>
      </c>
      <c r="D4" s="24" t="str">
        <f t="shared" ref="D4:D27" si="1">B4&amp;" "&amp;C4</f>
        <v>2018 Qtr2</v>
      </c>
      <c r="E4" s="19">
        <v>128585</v>
      </c>
      <c r="F4" s="2">
        <f>($H$2*E3)+((1-$H$2)*F3)</f>
        <v>101774</v>
      </c>
    </row>
    <row r="5" spans="1:8" x14ac:dyDescent="0.35">
      <c r="A5" s="24"/>
      <c r="B5" s="24" t="str">
        <f t="shared" si="0"/>
        <v>2018</v>
      </c>
      <c r="C5" s="24" t="s">
        <v>106</v>
      </c>
      <c r="D5" s="24" t="str">
        <f t="shared" si="1"/>
        <v>2018 Qtr3</v>
      </c>
      <c r="E5" s="19">
        <v>142768</v>
      </c>
      <c r="F5" s="2">
        <f t="shared" ref="F5:F29" si="2">($H$2*E4)+((1-$H$2)*F4)</f>
        <v>124809.39923612252</v>
      </c>
    </row>
    <row r="6" spans="1:8" x14ac:dyDescent="0.35">
      <c r="A6" s="106"/>
      <c r="B6" s="24" t="str">
        <f t="shared" si="0"/>
        <v>2018</v>
      </c>
      <c r="C6" s="24" t="s">
        <v>107</v>
      </c>
      <c r="D6" s="24" t="str">
        <f t="shared" si="1"/>
        <v>2018 Qtr4</v>
      </c>
      <c r="E6" s="19">
        <v>130946</v>
      </c>
      <c r="F6" s="2">
        <f t="shared" si="2"/>
        <v>140239.01910550645</v>
      </c>
    </row>
    <row r="7" spans="1:8" x14ac:dyDescent="0.35">
      <c r="A7" s="24" t="s">
        <v>98</v>
      </c>
      <c r="B7" s="24" t="str">
        <f t="shared" si="0"/>
        <v>2019</v>
      </c>
      <c r="C7" s="24" t="s">
        <v>104</v>
      </c>
      <c r="D7" s="24" t="str">
        <f t="shared" si="1"/>
        <v>2019 Qtr1</v>
      </c>
      <c r="E7" s="19">
        <v>159580</v>
      </c>
      <c r="F7" s="2">
        <f t="shared" si="2"/>
        <v>132254.66920418775</v>
      </c>
    </row>
    <row r="8" spans="1:8" x14ac:dyDescent="0.35">
      <c r="A8" s="24"/>
      <c r="B8" s="24" t="str">
        <f t="shared" si="0"/>
        <v>2019</v>
      </c>
      <c r="C8" s="24" t="s">
        <v>105</v>
      </c>
      <c r="D8" s="24" t="str">
        <f t="shared" si="1"/>
        <v>2019 Qtr2</v>
      </c>
      <c r="E8" s="19">
        <v>253362</v>
      </c>
      <c r="F8" s="2">
        <f t="shared" si="2"/>
        <v>155731.96972041798</v>
      </c>
    </row>
    <row r="9" spans="1:8" x14ac:dyDescent="0.35">
      <c r="A9" s="24"/>
      <c r="B9" s="24" t="str">
        <f t="shared" si="0"/>
        <v>2019</v>
      </c>
      <c r="C9" s="24" t="s">
        <v>106</v>
      </c>
      <c r="D9" s="24" t="str">
        <f t="shared" si="1"/>
        <v>2019 Qtr3</v>
      </c>
      <c r="E9" s="19">
        <v>341740</v>
      </c>
      <c r="F9" s="2">
        <f t="shared" si="2"/>
        <v>239613.46332098873</v>
      </c>
    </row>
    <row r="10" spans="1:8" x14ac:dyDescent="0.35">
      <c r="A10" s="106"/>
      <c r="B10" s="24" t="str">
        <f t="shared" si="0"/>
        <v>2019</v>
      </c>
      <c r="C10" s="24" t="s">
        <v>107</v>
      </c>
      <c r="D10" s="24" t="str">
        <f t="shared" si="1"/>
        <v>2019 Qtr4</v>
      </c>
      <c r="E10" s="19">
        <v>311858</v>
      </c>
      <c r="F10" s="2">
        <f t="shared" si="2"/>
        <v>327358.25258672051</v>
      </c>
    </row>
    <row r="11" spans="1:8" x14ac:dyDescent="0.35">
      <c r="A11" s="24" t="s">
        <v>99</v>
      </c>
      <c r="B11" s="24" t="str">
        <f t="shared" si="0"/>
        <v>2020</v>
      </c>
      <c r="C11" s="24" t="s">
        <v>104</v>
      </c>
      <c r="D11" s="24" t="str">
        <f t="shared" si="1"/>
        <v>2020 Qtr1</v>
      </c>
      <c r="E11" s="19">
        <v>250063</v>
      </c>
      <c r="F11" s="2">
        <f t="shared" si="2"/>
        <v>314040.78935909574</v>
      </c>
    </row>
    <row r="12" spans="1:8" x14ac:dyDescent="0.35">
      <c r="A12" s="24"/>
      <c r="B12" s="24" t="str">
        <f t="shared" si="0"/>
        <v>2020</v>
      </c>
      <c r="C12" s="24" t="s">
        <v>105</v>
      </c>
      <c r="D12" s="24" t="str">
        <f t="shared" si="1"/>
        <v>2020 Qtr2</v>
      </c>
      <c r="E12" s="19">
        <v>91600</v>
      </c>
      <c r="F12" s="2">
        <f t="shared" si="2"/>
        <v>259072.53304149024</v>
      </c>
    </row>
    <row r="13" spans="1:8" x14ac:dyDescent="0.35">
      <c r="A13" s="24"/>
      <c r="B13" s="24" t="str">
        <f t="shared" si="0"/>
        <v>2020</v>
      </c>
      <c r="C13" s="24" t="s">
        <v>106</v>
      </c>
      <c r="D13" s="24" t="str">
        <f t="shared" si="1"/>
        <v>2020 Qtr3</v>
      </c>
      <c r="E13" s="19">
        <v>169303</v>
      </c>
      <c r="F13" s="2">
        <f t="shared" si="2"/>
        <v>115183.95523031394</v>
      </c>
    </row>
    <row r="14" spans="1:8" x14ac:dyDescent="0.35">
      <c r="A14" s="106"/>
      <c r="B14" s="24" t="str">
        <f t="shared" si="0"/>
        <v>2020</v>
      </c>
      <c r="C14" s="24" t="s">
        <v>107</v>
      </c>
      <c r="D14" s="24" t="str">
        <f t="shared" si="1"/>
        <v>2020 Qtr4</v>
      </c>
      <c r="E14" s="19">
        <v>190752</v>
      </c>
      <c r="F14" s="2">
        <f t="shared" si="2"/>
        <v>161681.80322357442</v>
      </c>
    </row>
    <row r="15" spans="1:8" x14ac:dyDescent="0.35">
      <c r="A15" s="24" t="s">
        <v>100</v>
      </c>
      <c r="B15" s="24" t="str">
        <f t="shared" si="0"/>
        <v>2021</v>
      </c>
      <c r="C15" s="24" t="s">
        <v>104</v>
      </c>
      <c r="D15" s="24" t="str">
        <f t="shared" si="1"/>
        <v>2021 Qtr1</v>
      </c>
      <c r="E15" s="19">
        <v>180074</v>
      </c>
      <c r="F15" s="2">
        <f t="shared" si="2"/>
        <v>186658.25276359924</v>
      </c>
    </row>
    <row r="16" spans="1:8" x14ac:dyDescent="0.35">
      <c r="A16" s="24"/>
      <c r="B16" s="24" t="str">
        <f t="shared" si="0"/>
        <v>2021</v>
      </c>
      <c r="C16" s="24" t="s">
        <v>105</v>
      </c>
      <c r="D16" s="24" t="str">
        <f t="shared" si="1"/>
        <v>2021 Qtr2</v>
      </c>
      <c r="E16" s="19">
        <v>53804</v>
      </c>
      <c r="F16" s="2">
        <f t="shared" si="2"/>
        <v>181001.21307537233</v>
      </c>
    </row>
    <row r="17" spans="1:12" x14ac:dyDescent="0.35">
      <c r="A17" s="24"/>
      <c r="B17" s="24" t="str">
        <f t="shared" si="0"/>
        <v>2021</v>
      </c>
      <c r="C17" s="24" t="s">
        <v>106</v>
      </c>
      <c r="D17" s="24" t="str">
        <f t="shared" si="1"/>
        <v>2021 Qtr3</v>
      </c>
      <c r="E17" s="19">
        <v>29102</v>
      </c>
      <c r="F17" s="2">
        <f t="shared" si="2"/>
        <v>71716.27089069644</v>
      </c>
    </row>
    <row r="18" spans="1:12" x14ac:dyDescent="0.35">
      <c r="A18" s="106"/>
      <c r="B18" s="24" t="str">
        <f t="shared" si="0"/>
        <v>2021</v>
      </c>
      <c r="C18" s="24" t="s">
        <v>107</v>
      </c>
      <c r="D18" s="24" t="str">
        <f t="shared" si="1"/>
        <v>2021 Qtr4</v>
      </c>
      <c r="E18" s="19">
        <v>68234</v>
      </c>
      <c r="F18" s="2">
        <f t="shared" si="2"/>
        <v>35103.062016597491</v>
      </c>
    </row>
    <row r="19" spans="1:12" x14ac:dyDescent="0.35">
      <c r="A19" s="24" t="s">
        <v>101</v>
      </c>
      <c r="B19" s="24" t="str">
        <f t="shared" si="0"/>
        <v>2022</v>
      </c>
      <c r="C19" s="24" t="s">
        <v>104</v>
      </c>
      <c r="D19" s="24" t="str">
        <f t="shared" si="1"/>
        <v>2022 Qtr1</v>
      </c>
      <c r="E19" s="19">
        <v>114171</v>
      </c>
      <c r="F19" s="2">
        <f t="shared" si="2"/>
        <v>63568.40771481437</v>
      </c>
    </row>
    <row r="20" spans="1:12" x14ac:dyDescent="0.35">
      <c r="A20" s="24"/>
      <c r="B20" s="24" t="str">
        <f t="shared" si="0"/>
        <v>2022</v>
      </c>
      <c r="C20" s="24" t="s">
        <v>105</v>
      </c>
      <c r="D20" s="24" t="str">
        <f t="shared" si="1"/>
        <v>2022 Qtr2</v>
      </c>
      <c r="E20" s="19">
        <v>107045</v>
      </c>
      <c r="F20" s="2">
        <f t="shared" si="2"/>
        <v>107044.99999678761</v>
      </c>
    </row>
    <row r="21" spans="1:12" x14ac:dyDescent="0.35">
      <c r="A21" s="24"/>
      <c r="B21" s="24" t="str">
        <f t="shared" si="0"/>
        <v>2022</v>
      </c>
      <c r="C21" s="24" t="s">
        <v>106</v>
      </c>
      <c r="D21" s="24" t="str">
        <f t="shared" si="1"/>
        <v>2022 Qtr3</v>
      </c>
      <c r="E21" s="19">
        <v>115175</v>
      </c>
      <c r="F21" s="2">
        <f t="shared" si="2"/>
        <v>107044.99999954762</v>
      </c>
    </row>
    <row r="22" spans="1:12" x14ac:dyDescent="0.35">
      <c r="A22" s="106"/>
      <c r="B22" s="24" t="str">
        <f t="shared" si="0"/>
        <v>2022</v>
      </c>
      <c r="C22" s="24" t="s">
        <v>107</v>
      </c>
      <c r="D22" s="24" t="str">
        <f t="shared" si="1"/>
        <v>2022 Qtr4</v>
      </c>
      <c r="E22" s="19">
        <v>121668</v>
      </c>
      <c r="F22" s="2">
        <f t="shared" si="2"/>
        <v>114030.1104318365</v>
      </c>
    </row>
    <row r="23" spans="1:12" x14ac:dyDescent="0.35">
      <c r="A23" s="24" t="s">
        <v>102</v>
      </c>
      <c r="B23" s="24" t="str">
        <f t="shared" si="0"/>
        <v>2023</v>
      </c>
      <c r="C23" s="24" t="s">
        <v>104</v>
      </c>
      <c r="D23" s="24" t="str">
        <f t="shared" si="1"/>
        <v>2023 Qtr1</v>
      </c>
      <c r="E23" s="19">
        <v>114967</v>
      </c>
      <c r="F23" s="2">
        <f t="shared" si="2"/>
        <v>120592.41081317482</v>
      </c>
    </row>
    <row r="24" spans="1:12" x14ac:dyDescent="0.35">
      <c r="A24" s="24"/>
      <c r="B24" s="24" t="str">
        <f t="shared" si="0"/>
        <v>2023</v>
      </c>
      <c r="C24" s="24" t="s">
        <v>105</v>
      </c>
      <c r="D24" s="24" t="str">
        <f t="shared" si="1"/>
        <v>2023 Qtr2</v>
      </c>
      <c r="E24" s="19">
        <v>128202</v>
      </c>
      <c r="F24" s="2">
        <f t="shared" si="2"/>
        <v>115759.18624308484</v>
      </c>
    </row>
    <row r="25" spans="1:12" x14ac:dyDescent="0.35">
      <c r="A25" s="24"/>
      <c r="B25" s="24" t="str">
        <f t="shared" si="0"/>
        <v>2023</v>
      </c>
      <c r="C25" s="24" t="s">
        <v>106</v>
      </c>
      <c r="D25" s="24" t="str">
        <f t="shared" si="1"/>
        <v>2023 Qtr3</v>
      </c>
      <c r="E25" s="19">
        <v>138447</v>
      </c>
      <c r="F25" s="2">
        <f t="shared" si="2"/>
        <v>126449.76781450173</v>
      </c>
    </row>
    <row r="26" spans="1:12" x14ac:dyDescent="0.35">
      <c r="A26" s="106"/>
      <c r="B26" s="24" t="str">
        <f t="shared" si="0"/>
        <v>2023</v>
      </c>
      <c r="C26" s="24" t="s">
        <v>107</v>
      </c>
      <c r="D26" s="24" t="str">
        <f t="shared" si="1"/>
        <v>2023 Qtr4</v>
      </c>
      <c r="E26" s="19">
        <v>154073</v>
      </c>
      <c r="F26" s="2">
        <f t="shared" si="2"/>
        <v>136757.51587020318</v>
      </c>
    </row>
    <row r="27" spans="1:12" x14ac:dyDescent="0.35">
      <c r="A27" s="24" t="s">
        <v>103</v>
      </c>
      <c r="B27" s="24" t="str">
        <f t="shared" si="0"/>
        <v>2024</v>
      </c>
      <c r="C27" s="24" t="s">
        <v>104</v>
      </c>
      <c r="D27" s="24" t="str">
        <f t="shared" si="1"/>
        <v>2024 Qtr1</v>
      </c>
      <c r="E27" s="19">
        <v>141367</v>
      </c>
      <c r="F27" s="2">
        <f t="shared" si="2"/>
        <v>151634.5846067894</v>
      </c>
    </row>
    <row r="28" spans="1:12" x14ac:dyDescent="0.35">
      <c r="F28" s="2">
        <f t="shared" si="2"/>
        <v>142812.91027132783</v>
      </c>
    </row>
    <row r="29" spans="1:12" x14ac:dyDescent="0.35">
      <c r="F29" s="2">
        <f t="shared" si="2"/>
        <v>20111.317485807744</v>
      </c>
      <c r="I29" s="22" t="s">
        <v>36</v>
      </c>
      <c r="J29" s="22" t="s">
        <v>40</v>
      </c>
      <c r="K29" s="22" t="s">
        <v>38</v>
      </c>
      <c r="L29" s="22" t="s">
        <v>56</v>
      </c>
    </row>
    <row r="30" spans="1:12" x14ac:dyDescent="0.35">
      <c r="H30" t="s">
        <v>120</v>
      </c>
      <c r="I30" s="19" cm="1">
        <f t="array" ref="I30">SUMPRODUCT(ABS($E$20:$E$23-$F$20:$F$23))/COUNT($F$20:$F$23)</f>
        <v>5348.3250962507736</v>
      </c>
      <c r="J30" s="19">
        <f>(SUMXMY2($E$20:$E$23,$F$20:$F$23)/COUNT($F$20:$F$23))^0.5</f>
        <v>6246.5891468824948</v>
      </c>
      <c r="K30" s="23" cm="1">
        <f t="array" ref="K30">SUMPRODUCT(ABS(1-$F$20:$F$23/$E$20:$E$23))/COUNT($F$20:$F$23)</f>
        <v>4.5573844659302643E-2</v>
      </c>
      <c r="L30" s="5" cm="1">
        <f t="array" ref="L30">SUM($F$20:$F$23-$E$20:$E$23)</f>
        <v>-10142.478758653451</v>
      </c>
    </row>
    <row r="31" spans="1:12" x14ac:dyDescent="0.35">
      <c r="H31" t="s">
        <v>119</v>
      </c>
      <c r="I31" s="19" cm="1">
        <f t="array" ref="I31">SUMPRODUCT(ABS($E$24:$E$27-$F$24:$F$27))/COUNT($F$24:$F$27)</f>
        <v>13005.778669749914</v>
      </c>
      <c r="J31" s="19">
        <f>(SUMXMY2($E$24:$E$27,$F$24:$F$27)/COUNT($F$24:$F$27))^0.5</f>
        <v>13266.560204220772</v>
      </c>
      <c r="K31" s="23" cm="1">
        <f t="array" ref="K31">SUMPRODUCT(ABS(1-$F$24:$F$27/$E$24:$E$27))/COUNT($F$24:$F$27)</f>
        <v>9.2181932399520577E-2</v>
      </c>
      <c r="L31" s="5" cm="1">
        <f t="array" ref="L31">SUM($F$24:$F$27-$E$24:$E$27)</f>
        <v>-31487.945465420853</v>
      </c>
    </row>
    <row r="34" spans="3:4" x14ac:dyDescent="0.35">
      <c r="C34" s="24"/>
      <c r="D34" s="24"/>
    </row>
    <row r="35" spans="3:4" x14ac:dyDescent="0.35">
      <c r="C35" s="24"/>
      <c r="D35" s="24"/>
    </row>
    <row r="36" spans="3:4" x14ac:dyDescent="0.35">
      <c r="C36" s="24"/>
      <c r="D36" s="24"/>
    </row>
    <row r="37" spans="3:4" x14ac:dyDescent="0.35">
      <c r="C37" s="106"/>
      <c r="D37" s="107"/>
    </row>
    <row r="38" spans="3:4" x14ac:dyDescent="0.35">
      <c r="C38" s="24"/>
      <c r="D38" s="24"/>
    </row>
    <row r="39" spans="3:4" x14ac:dyDescent="0.35">
      <c r="C39" s="24"/>
      <c r="D39" s="24"/>
    </row>
    <row r="40" spans="3:4" x14ac:dyDescent="0.35">
      <c r="C40" s="24"/>
      <c r="D40" s="24"/>
    </row>
    <row r="41" spans="3:4" x14ac:dyDescent="0.35">
      <c r="C41" s="106"/>
      <c r="D41" s="107"/>
    </row>
    <row r="42" spans="3:4" x14ac:dyDescent="0.35">
      <c r="C42" s="24"/>
      <c r="D42" s="24"/>
    </row>
    <row r="43" spans="3:4" x14ac:dyDescent="0.35">
      <c r="C43" s="24"/>
      <c r="D43" s="24"/>
    </row>
    <row r="44" spans="3:4" x14ac:dyDescent="0.35">
      <c r="C44" s="24"/>
      <c r="D44" s="24"/>
    </row>
    <row r="45" spans="3:4" x14ac:dyDescent="0.35">
      <c r="C45" s="106"/>
      <c r="D45" s="107"/>
    </row>
    <row r="46" spans="3:4" x14ac:dyDescent="0.35">
      <c r="C46" s="24"/>
      <c r="D46" s="24"/>
    </row>
    <row r="47" spans="3:4" x14ac:dyDescent="0.35">
      <c r="C47" s="24"/>
      <c r="D47" s="24"/>
    </row>
    <row r="48" spans="3:4" x14ac:dyDescent="0.35">
      <c r="C48" s="24"/>
      <c r="D48" s="24"/>
    </row>
    <row r="49" spans="3:4" x14ac:dyDescent="0.35">
      <c r="C49" s="106"/>
      <c r="D49" s="107"/>
    </row>
    <row r="50" spans="3:4" x14ac:dyDescent="0.35">
      <c r="C50" s="24"/>
      <c r="D50" s="24"/>
    </row>
    <row r="51" spans="3:4" x14ac:dyDescent="0.35">
      <c r="C51" s="24"/>
      <c r="D51" s="24"/>
    </row>
    <row r="52" spans="3:4" x14ac:dyDescent="0.35">
      <c r="C52" s="24"/>
      <c r="D52" s="24"/>
    </row>
    <row r="53" spans="3:4" x14ac:dyDescent="0.35">
      <c r="C53" s="106"/>
      <c r="D53" s="107"/>
    </row>
    <row r="54" spans="3:4" x14ac:dyDescent="0.35">
      <c r="C54" s="24"/>
      <c r="D54" s="24"/>
    </row>
    <row r="55" spans="3:4" x14ac:dyDescent="0.35">
      <c r="C55" s="24"/>
      <c r="D55" s="24"/>
    </row>
    <row r="56" spans="3:4" x14ac:dyDescent="0.35">
      <c r="C56" s="24"/>
      <c r="D56" s="24"/>
    </row>
    <row r="57" spans="3:4" x14ac:dyDescent="0.35">
      <c r="C57" s="106"/>
      <c r="D57" s="107"/>
    </row>
    <row r="58" spans="3:4" x14ac:dyDescent="0.35">
      <c r="C58" s="24"/>
      <c r="D58" s="24"/>
    </row>
    <row r="59" spans="3:4" x14ac:dyDescent="0.35">
      <c r="C59" s="106"/>
      <c r="D59" s="107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35C3-4570-46BB-A214-3B5880D120C3}">
  <sheetPr>
    <tabColor rgb="FF92D050"/>
  </sheetPr>
  <dimension ref="A1:L59"/>
  <sheetViews>
    <sheetView topLeftCell="C2" workbookViewId="0">
      <pane ySplit="1" topLeftCell="A15" activePane="bottomLeft" state="frozen"/>
      <selection activeCell="C2" sqref="C2"/>
      <selection pane="bottomLeft" activeCell="L30" sqref="L30"/>
    </sheetView>
  </sheetViews>
  <sheetFormatPr defaultRowHeight="14.5" x14ac:dyDescent="0.35"/>
  <cols>
    <col min="1" max="2" width="0" hidden="1" customWidth="1"/>
    <col min="3" max="3" width="16.54296875" bestFit="1" customWidth="1"/>
    <col min="4" max="4" width="16.54296875" customWidth="1"/>
    <col min="5" max="5" width="14.26953125" bestFit="1" customWidth="1"/>
    <col min="6" max="6" width="13.08984375" bestFit="1" customWidth="1"/>
  </cols>
  <sheetData>
    <row r="1" spans="1:8" hidden="1" x14ac:dyDescent="0.35"/>
    <row r="2" spans="1:8" x14ac:dyDescent="0.35">
      <c r="A2" t="s">
        <v>1</v>
      </c>
      <c r="B2" t="s">
        <v>1</v>
      </c>
      <c r="C2" s="105" t="s">
        <v>110</v>
      </c>
      <c r="D2" s="105" t="s">
        <v>3</v>
      </c>
      <c r="E2" s="105" t="s">
        <v>108</v>
      </c>
      <c r="F2" s="24" t="s">
        <v>29</v>
      </c>
      <c r="G2" s="24"/>
      <c r="H2" s="24"/>
    </row>
    <row r="3" spans="1:8" x14ac:dyDescent="0.35">
      <c r="A3" s="24" t="s">
        <v>97</v>
      </c>
      <c r="B3" s="24" t="str">
        <f>IF(A3="",B2,A3)</f>
        <v>2018</v>
      </c>
      <c r="C3" s="24" t="s">
        <v>104</v>
      </c>
      <c r="D3" s="24" t="str">
        <f>B3&amp;" "&amp;C3</f>
        <v>2018 Qtr1</v>
      </c>
      <c r="E3" s="19">
        <v>101774</v>
      </c>
      <c r="F3" s="19">
        <f>E3</f>
        <v>101774</v>
      </c>
    </row>
    <row r="4" spans="1:8" x14ac:dyDescent="0.35">
      <c r="A4" s="24"/>
      <c r="B4" s="24" t="str">
        <f t="shared" ref="B4:B27" si="0">IF(A4="",B3,A4)</f>
        <v>2018</v>
      </c>
      <c r="C4" s="24" t="s">
        <v>105</v>
      </c>
      <c r="D4" s="24" t="str">
        <f t="shared" ref="D4:D27" si="1">B4&amp;" "&amp;C4</f>
        <v>2018 Qtr2</v>
      </c>
      <c r="E4" s="19">
        <v>128585</v>
      </c>
      <c r="F4" s="19">
        <f>E4</f>
        <v>128585</v>
      </c>
    </row>
    <row r="5" spans="1:8" x14ac:dyDescent="0.35">
      <c r="A5" s="24"/>
      <c r="B5" s="24" t="str">
        <f t="shared" si="0"/>
        <v>2018</v>
      </c>
      <c r="C5" s="24" t="s">
        <v>106</v>
      </c>
      <c r="D5" s="24" t="str">
        <f t="shared" si="1"/>
        <v>2018 Qtr3</v>
      </c>
      <c r="E5" s="19">
        <v>142768</v>
      </c>
      <c r="F5" s="19">
        <f>E5</f>
        <v>142768</v>
      </c>
    </row>
    <row r="6" spans="1:8" x14ac:dyDescent="0.35">
      <c r="A6" s="106"/>
      <c r="B6" s="24" t="str">
        <f t="shared" si="0"/>
        <v>2018</v>
      </c>
      <c r="C6" s="24" t="s">
        <v>107</v>
      </c>
      <c r="D6" s="24" t="str">
        <f t="shared" si="1"/>
        <v>2018 Qtr4</v>
      </c>
      <c r="E6" s="19">
        <v>130946</v>
      </c>
      <c r="F6" s="19">
        <f>E6</f>
        <v>130946</v>
      </c>
    </row>
    <row r="7" spans="1:8" x14ac:dyDescent="0.35">
      <c r="A7" s="24" t="s">
        <v>98</v>
      </c>
      <c r="B7" s="24" t="str">
        <f t="shared" si="0"/>
        <v>2019</v>
      </c>
      <c r="C7" s="24" t="s">
        <v>104</v>
      </c>
      <c r="D7" s="24" t="str">
        <f t="shared" si="1"/>
        <v>2019 Qtr1</v>
      </c>
      <c r="E7" s="19">
        <v>159580</v>
      </c>
      <c r="F7" s="2">
        <f>AVERAGE(E3,F3)</f>
        <v>101774</v>
      </c>
    </row>
    <row r="8" spans="1:8" x14ac:dyDescent="0.35">
      <c r="A8" s="24"/>
      <c r="B8" s="24" t="str">
        <f t="shared" si="0"/>
        <v>2019</v>
      </c>
      <c r="C8" s="24" t="s">
        <v>105</v>
      </c>
      <c r="D8" s="24" t="str">
        <f t="shared" si="1"/>
        <v>2019 Qtr2</v>
      </c>
      <c r="E8" s="19">
        <v>253362</v>
      </c>
      <c r="F8" s="2">
        <f t="shared" ref="F8:F27" si="2">AVERAGE(E4,F4)</f>
        <v>128585</v>
      </c>
    </row>
    <row r="9" spans="1:8" x14ac:dyDescent="0.35">
      <c r="A9" s="24"/>
      <c r="B9" s="24" t="str">
        <f t="shared" si="0"/>
        <v>2019</v>
      </c>
      <c r="C9" s="24" t="s">
        <v>106</v>
      </c>
      <c r="D9" s="24" t="str">
        <f t="shared" si="1"/>
        <v>2019 Qtr3</v>
      </c>
      <c r="E9" s="19">
        <v>341740</v>
      </c>
      <c r="F9" s="2">
        <f t="shared" si="2"/>
        <v>142768</v>
      </c>
    </row>
    <row r="10" spans="1:8" x14ac:dyDescent="0.35">
      <c r="A10" s="106"/>
      <c r="B10" s="24" t="str">
        <f t="shared" si="0"/>
        <v>2019</v>
      </c>
      <c r="C10" s="24" t="s">
        <v>107</v>
      </c>
      <c r="D10" s="24" t="str">
        <f t="shared" si="1"/>
        <v>2019 Qtr4</v>
      </c>
      <c r="E10" s="19">
        <v>311858</v>
      </c>
      <c r="F10" s="2">
        <f t="shared" si="2"/>
        <v>130946</v>
      </c>
    </row>
    <row r="11" spans="1:8" x14ac:dyDescent="0.35">
      <c r="A11" s="24" t="s">
        <v>99</v>
      </c>
      <c r="B11" s="24" t="str">
        <f t="shared" si="0"/>
        <v>2020</v>
      </c>
      <c r="C11" s="24" t="s">
        <v>104</v>
      </c>
      <c r="D11" s="24" t="str">
        <f t="shared" si="1"/>
        <v>2020 Qtr1</v>
      </c>
      <c r="E11" s="19">
        <v>250063</v>
      </c>
      <c r="F11" s="2">
        <f t="shared" si="2"/>
        <v>130677</v>
      </c>
    </row>
    <row r="12" spans="1:8" x14ac:dyDescent="0.35">
      <c r="A12" s="24"/>
      <c r="B12" s="24" t="str">
        <f t="shared" si="0"/>
        <v>2020</v>
      </c>
      <c r="C12" s="24" t="s">
        <v>105</v>
      </c>
      <c r="D12" s="24" t="str">
        <f t="shared" si="1"/>
        <v>2020 Qtr2</v>
      </c>
      <c r="E12" s="19">
        <v>91600</v>
      </c>
      <c r="F12" s="2">
        <f t="shared" si="2"/>
        <v>190973.5</v>
      </c>
    </row>
    <row r="13" spans="1:8" x14ac:dyDescent="0.35">
      <c r="A13" s="24"/>
      <c r="B13" s="24" t="str">
        <f t="shared" si="0"/>
        <v>2020</v>
      </c>
      <c r="C13" s="24" t="s">
        <v>106</v>
      </c>
      <c r="D13" s="24" t="str">
        <f t="shared" si="1"/>
        <v>2020 Qtr3</v>
      </c>
      <c r="E13" s="19">
        <v>169303</v>
      </c>
      <c r="F13" s="2">
        <f t="shared" si="2"/>
        <v>242254</v>
      </c>
    </row>
    <row r="14" spans="1:8" x14ac:dyDescent="0.35">
      <c r="A14" s="106"/>
      <c r="B14" s="24" t="str">
        <f t="shared" si="0"/>
        <v>2020</v>
      </c>
      <c r="C14" s="24" t="s">
        <v>107</v>
      </c>
      <c r="D14" s="24" t="str">
        <f t="shared" si="1"/>
        <v>2020 Qtr4</v>
      </c>
      <c r="E14" s="19">
        <v>190752</v>
      </c>
      <c r="F14" s="2">
        <f t="shared" si="2"/>
        <v>221402</v>
      </c>
    </row>
    <row r="15" spans="1:8" x14ac:dyDescent="0.35">
      <c r="A15" s="24" t="s">
        <v>100</v>
      </c>
      <c r="B15" s="24" t="str">
        <f t="shared" si="0"/>
        <v>2021</v>
      </c>
      <c r="C15" s="24" t="s">
        <v>104</v>
      </c>
      <c r="D15" s="24" t="str">
        <f t="shared" si="1"/>
        <v>2021 Qtr1</v>
      </c>
      <c r="E15" s="19">
        <v>180074</v>
      </c>
      <c r="F15" s="2">
        <f t="shared" si="2"/>
        <v>190370</v>
      </c>
    </row>
    <row r="16" spans="1:8" x14ac:dyDescent="0.35">
      <c r="A16" s="24"/>
      <c r="B16" s="24" t="str">
        <f t="shared" si="0"/>
        <v>2021</v>
      </c>
      <c r="C16" s="24" t="s">
        <v>105</v>
      </c>
      <c r="D16" s="24" t="str">
        <f t="shared" si="1"/>
        <v>2021 Qtr2</v>
      </c>
      <c r="E16" s="19">
        <v>53804</v>
      </c>
      <c r="F16" s="2">
        <f t="shared" si="2"/>
        <v>141286.75</v>
      </c>
    </row>
    <row r="17" spans="1:12" x14ac:dyDescent="0.35">
      <c r="A17" s="24"/>
      <c r="B17" s="24" t="str">
        <f t="shared" si="0"/>
        <v>2021</v>
      </c>
      <c r="C17" s="24" t="s">
        <v>106</v>
      </c>
      <c r="D17" s="24" t="str">
        <f t="shared" si="1"/>
        <v>2021 Qtr3</v>
      </c>
      <c r="E17" s="19">
        <v>29102</v>
      </c>
      <c r="F17" s="2">
        <f t="shared" si="2"/>
        <v>205778.5</v>
      </c>
    </row>
    <row r="18" spans="1:12" x14ac:dyDescent="0.35">
      <c r="A18" s="106"/>
      <c r="B18" s="24" t="str">
        <f t="shared" si="0"/>
        <v>2021</v>
      </c>
      <c r="C18" s="24" t="s">
        <v>107</v>
      </c>
      <c r="D18" s="24" t="str">
        <f t="shared" si="1"/>
        <v>2021 Qtr4</v>
      </c>
      <c r="E18" s="19">
        <v>68234</v>
      </c>
      <c r="F18" s="2">
        <f t="shared" si="2"/>
        <v>206077</v>
      </c>
    </row>
    <row r="19" spans="1:12" x14ac:dyDescent="0.35">
      <c r="A19" s="24" t="s">
        <v>101</v>
      </c>
      <c r="B19" s="24" t="str">
        <f t="shared" si="0"/>
        <v>2022</v>
      </c>
      <c r="C19" s="24" t="s">
        <v>104</v>
      </c>
      <c r="D19" s="24" t="str">
        <f t="shared" si="1"/>
        <v>2022 Qtr1</v>
      </c>
      <c r="E19" s="19">
        <v>114171</v>
      </c>
      <c r="F19" s="2">
        <f t="shared" si="2"/>
        <v>185222</v>
      </c>
    </row>
    <row r="20" spans="1:12" x14ac:dyDescent="0.35">
      <c r="A20" s="24"/>
      <c r="B20" s="24" t="str">
        <f t="shared" si="0"/>
        <v>2022</v>
      </c>
      <c r="C20" s="24" t="s">
        <v>105</v>
      </c>
      <c r="D20" s="24" t="str">
        <f t="shared" si="1"/>
        <v>2022 Qtr2</v>
      </c>
      <c r="E20" s="19">
        <v>107045</v>
      </c>
      <c r="F20" s="2">
        <f t="shared" si="2"/>
        <v>97545.375</v>
      </c>
    </row>
    <row r="21" spans="1:12" x14ac:dyDescent="0.35">
      <c r="A21" s="24"/>
      <c r="B21" s="24" t="str">
        <f t="shared" si="0"/>
        <v>2022</v>
      </c>
      <c r="C21" s="24" t="s">
        <v>106</v>
      </c>
      <c r="D21" s="24" t="str">
        <f t="shared" si="1"/>
        <v>2022 Qtr3</v>
      </c>
      <c r="E21" s="19">
        <v>115175</v>
      </c>
      <c r="F21" s="2">
        <f t="shared" si="2"/>
        <v>117440.25</v>
      </c>
    </row>
    <row r="22" spans="1:12" x14ac:dyDescent="0.35">
      <c r="A22" s="106"/>
      <c r="B22" s="24" t="str">
        <f t="shared" si="0"/>
        <v>2022</v>
      </c>
      <c r="C22" s="24" t="s">
        <v>107</v>
      </c>
      <c r="D22" s="24" t="str">
        <f t="shared" si="1"/>
        <v>2022 Qtr4</v>
      </c>
      <c r="E22" s="19">
        <v>121668</v>
      </c>
      <c r="F22" s="2">
        <f t="shared" si="2"/>
        <v>137155.5</v>
      </c>
    </row>
    <row r="23" spans="1:12" x14ac:dyDescent="0.35">
      <c r="A23" s="24" t="s">
        <v>102</v>
      </c>
      <c r="B23" s="24" t="str">
        <f t="shared" si="0"/>
        <v>2023</v>
      </c>
      <c r="C23" s="24" t="s">
        <v>104</v>
      </c>
      <c r="D23" s="24" t="str">
        <f t="shared" si="1"/>
        <v>2023 Qtr1</v>
      </c>
      <c r="E23" s="19">
        <v>114967</v>
      </c>
      <c r="F23" s="2">
        <f t="shared" si="2"/>
        <v>149696.5</v>
      </c>
    </row>
    <row r="24" spans="1:12" x14ac:dyDescent="0.35">
      <c r="A24" s="24"/>
      <c r="B24" s="24" t="str">
        <f t="shared" si="0"/>
        <v>2023</v>
      </c>
      <c r="C24" s="24" t="s">
        <v>105</v>
      </c>
      <c r="D24" s="24" t="str">
        <f t="shared" si="1"/>
        <v>2023 Qtr2</v>
      </c>
      <c r="E24" s="19">
        <v>128202</v>
      </c>
      <c r="F24" s="2">
        <f t="shared" si="2"/>
        <v>102295.1875</v>
      </c>
    </row>
    <row r="25" spans="1:12" x14ac:dyDescent="0.35">
      <c r="A25" s="24"/>
      <c r="B25" s="24" t="str">
        <f t="shared" si="0"/>
        <v>2023</v>
      </c>
      <c r="C25" s="24" t="s">
        <v>106</v>
      </c>
      <c r="D25" s="24" t="str">
        <f t="shared" si="1"/>
        <v>2023 Qtr3</v>
      </c>
      <c r="E25" s="19">
        <v>138447</v>
      </c>
      <c r="F25" s="2">
        <f t="shared" si="2"/>
        <v>116307.625</v>
      </c>
    </row>
    <row r="26" spans="1:12" x14ac:dyDescent="0.35">
      <c r="A26" s="106"/>
      <c r="B26" s="24" t="str">
        <f t="shared" si="0"/>
        <v>2023</v>
      </c>
      <c r="C26" s="24" t="s">
        <v>107</v>
      </c>
      <c r="D26" s="24" t="str">
        <f t="shared" si="1"/>
        <v>2023 Qtr4</v>
      </c>
      <c r="E26" s="19">
        <v>154073</v>
      </c>
      <c r="F26" s="2">
        <f t="shared" si="2"/>
        <v>129411.75</v>
      </c>
    </row>
    <row r="27" spans="1:12" x14ac:dyDescent="0.35">
      <c r="A27" s="24" t="s">
        <v>103</v>
      </c>
      <c r="B27" s="24" t="str">
        <f t="shared" si="0"/>
        <v>2024</v>
      </c>
      <c r="C27" s="24" t="s">
        <v>104</v>
      </c>
      <c r="D27" s="24" t="str">
        <f t="shared" si="1"/>
        <v>2024 Qtr1</v>
      </c>
      <c r="E27" s="19">
        <v>141367</v>
      </c>
      <c r="F27" s="2">
        <f t="shared" si="2"/>
        <v>132331.75</v>
      </c>
    </row>
    <row r="29" spans="1:12" x14ac:dyDescent="0.35">
      <c r="I29" s="22" t="s">
        <v>36</v>
      </c>
      <c r="J29" s="22" t="s">
        <v>40</v>
      </c>
      <c r="K29" s="22" t="s">
        <v>38</v>
      </c>
      <c r="L29" s="22" t="s">
        <v>56</v>
      </c>
    </row>
    <row r="30" spans="1:12" x14ac:dyDescent="0.35">
      <c r="H30" t="s">
        <v>120</v>
      </c>
      <c r="I30" s="19" cm="1">
        <f t="array" ref="I30">SUMPRODUCT(ABS($E$20:$E$23-$F$20:$F$23))/COUNT($F$20:$F$23)</f>
        <v>15495.46875</v>
      </c>
      <c r="J30" s="19">
        <f>(SUMXMY2($E$20:$E$23,$F$20:$F$23)/COUNT($F$20:$F$23))^0.5</f>
        <v>19630.174854055203</v>
      </c>
      <c r="K30" s="23" cm="1">
        <f t="array" ref="K30">SUMPRODUCT(ABS(1-$F$20:$F$23/$E$20:$E$23))/COUNT($F$20:$F$23)</f>
        <v>0.13444689465623905</v>
      </c>
      <c r="L30" s="5" cm="1">
        <f t="array" ref="L30">SUM($F$20:$F$23-$E$20:$E$23)</f>
        <v>42982.625</v>
      </c>
    </row>
    <row r="31" spans="1:12" x14ac:dyDescent="0.35">
      <c r="H31" t="s">
        <v>119</v>
      </c>
      <c r="I31" s="19" cm="1">
        <f t="array" ref="I31">SUMPRODUCT(ABS($E$24:$E$27-$F$24:$F$27))/COUNT($F$24:$F$27)</f>
        <v>20435.671875</v>
      </c>
      <c r="J31" s="19">
        <f>(SUMXMY2($E$24:$E$27,$F$24:$F$27)/COUNT($F$24:$F$27))^0.5</f>
        <v>21512.367683647593</v>
      </c>
      <c r="K31" s="23" cm="1">
        <f t="array" ref="K31">SUMPRODUCT(ABS(1-$F$24:$F$27/$E$24:$E$27))/COUNT($F$24:$F$27)</f>
        <v>0.14649147237939228</v>
      </c>
      <c r="L31" s="5" cm="1">
        <f t="array" ref="L31">SUM($F$24:$F$27-$E$24:$E$27)</f>
        <v>-81742.6875</v>
      </c>
    </row>
    <row r="34" spans="3:4" x14ac:dyDescent="0.35">
      <c r="C34" s="24"/>
      <c r="D34" s="24"/>
    </row>
    <row r="35" spans="3:4" x14ac:dyDescent="0.35">
      <c r="C35" s="24"/>
      <c r="D35" s="24"/>
    </row>
    <row r="36" spans="3:4" x14ac:dyDescent="0.35">
      <c r="C36" s="24"/>
      <c r="D36" s="24"/>
    </row>
    <row r="37" spans="3:4" x14ac:dyDescent="0.35">
      <c r="C37" s="106"/>
      <c r="D37" s="107"/>
    </row>
    <row r="38" spans="3:4" x14ac:dyDescent="0.35">
      <c r="C38" s="24"/>
      <c r="D38" s="24"/>
    </row>
    <row r="39" spans="3:4" x14ac:dyDescent="0.35">
      <c r="C39" s="24"/>
      <c r="D39" s="24"/>
    </row>
    <row r="40" spans="3:4" x14ac:dyDescent="0.35">
      <c r="C40" s="24"/>
      <c r="D40" s="24"/>
    </row>
    <row r="41" spans="3:4" x14ac:dyDescent="0.35">
      <c r="C41" s="106"/>
      <c r="D41" s="107"/>
    </row>
    <row r="42" spans="3:4" x14ac:dyDescent="0.35">
      <c r="C42" s="24"/>
      <c r="D42" s="24"/>
    </row>
    <row r="43" spans="3:4" x14ac:dyDescent="0.35">
      <c r="C43" s="24"/>
      <c r="D43" s="24"/>
    </row>
    <row r="44" spans="3:4" x14ac:dyDescent="0.35">
      <c r="C44" s="24"/>
      <c r="D44" s="24"/>
    </row>
    <row r="45" spans="3:4" x14ac:dyDescent="0.35">
      <c r="C45" s="106"/>
      <c r="D45" s="107"/>
    </row>
    <row r="46" spans="3:4" x14ac:dyDescent="0.35">
      <c r="C46" s="24"/>
      <c r="D46" s="24"/>
    </row>
    <row r="47" spans="3:4" x14ac:dyDescent="0.35">
      <c r="C47" s="24"/>
      <c r="D47" s="24"/>
    </row>
    <row r="48" spans="3:4" x14ac:dyDescent="0.35">
      <c r="C48" s="24"/>
      <c r="D48" s="24"/>
    </row>
    <row r="49" spans="3:4" x14ac:dyDescent="0.35">
      <c r="C49" s="106"/>
      <c r="D49" s="107"/>
    </row>
    <row r="50" spans="3:4" x14ac:dyDescent="0.35">
      <c r="C50" s="24"/>
      <c r="D50" s="24"/>
    </row>
    <row r="51" spans="3:4" x14ac:dyDescent="0.35">
      <c r="C51" s="24"/>
      <c r="D51" s="24"/>
    </row>
    <row r="52" spans="3:4" x14ac:dyDescent="0.35">
      <c r="C52" s="24"/>
      <c r="D52" s="24"/>
    </row>
    <row r="53" spans="3:4" x14ac:dyDescent="0.35">
      <c r="C53" s="106"/>
      <c r="D53" s="107"/>
    </row>
    <row r="54" spans="3:4" x14ac:dyDescent="0.35">
      <c r="C54" s="24"/>
      <c r="D54" s="24"/>
    </row>
    <row r="55" spans="3:4" x14ac:dyDescent="0.35">
      <c r="C55" s="24"/>
      <c r="D55" s="24"/>
    </row>
    <row r="56" spans="3:4" x14ac:dyDescent="0.35">
      <c r="C56" s="24"/>
      <c r="D56" s="24"/>
    </row>
    <row r="57" spans="3:4" x14ac:dyDescent="0.35">
      <c r="C57" s="106"/>
      <c r="D57" s="107"/>
    </row>
    <row r="58" spans="3:4" x14ac:dyDescent="0.35">
      <c r="C58" s="24"/>
      <c r="D58" s="24"/>
    </row>
    <row r="59" spans="3:4" x14ac:dyDescent="0.35">
      <c r="C59" s="106"/>
      <c r="D59" s="107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2FB1-6227-483B-916C-7D9D5A031A9D}">
  <dimension ref="A1:L36"/>
  <sheetViews>
    <sheetView zoomScale="85" zoomScaleNormal="85" workbookViewId="0">
      <selection activeCell="L34" sqref="L34:L36"/>
    </sheetView>
  </sheetViews>
  <sheetFormatPr defaultRowHeight="14.5" x14ac:dyDescent="0.35"/>
  <cols>
    <col min="2" max="2" width="9" bestFit="1" customWidth="1"/>
    <col min="3" max="3" width="7.36328125" bestFit="1" customWidth="1"/>
    <col min="5" max="5" width="14.6328125" customWidth="1"/>
    <col min="9" max="9" width="8.81640625" bestFit="1" customWidth="1"/>
    <col min="10" max="10" width="14.54296875" bestFit="1" customWidth="1"/>
  </cols>
  <sheetData>
    <row r="1" spans="1:10" x14ac:dyDescent="0.35">
      <c r="A1" s="24" t="s">
        <v>42</v>
      </c>
      <c r="E1" t="s">
        <v>43</v>
      </c>
    </row>
    <row r="2" spans="1:10" ht="15" thickBot="1" x14ac:dyDescent="0.4"/>
    <row r="3" spans="1:10" ht="15" thickTop="1" x14ac:dyDescent="0.35">
      <c r="A3" s="25" t="s">
        <v>44</v>
      </c>
      <c r="B3" s="25" t="s">
        <v>45</v>
      </c>
      <c r="C3" s="25" t="s">
        <v>46</v>
      </c>
      <c r="E3" s="26" t="str">
        <f>B3</f>
        <v>qtr</v>
      </c>
      <c r="F3" s="26" t="str">
        <f>C3</f>
        <v>y</v>
      </c>
      <c r="G3" s="26" t="s">
        <v>47</v>
      </c>
      <c r="H3" s="26" t="s">
        <v>48</v>
      </c>
      <c r="I3" s="26" t="s">
        <v>49</v>
      </c>
      <c r="J3" s="26" t="s">
        <v>50</v>
      </c>
    </row>
    <row r="4" spans="1:10" x14ac:dyDescent="0.35">
      <c r="A4" s="111">
        <v>1</v>
      </c>
      <c r="B4" s="27" t="s">
        <v>127</v>
      </c>
      <c r="C4" s="27">
        <v>101774</v>
      </c>
      <c r="E4" s="27" t="str">
        <f>B4</f>
        <v>2018 Qtr1</v>
      </c>
      <c r="F4" s="27">
        <f>C4</f>
        <v>101774</v>
      </c>
      <c r="I4">
        <f>F4-AVERAGE($F$4:$F$7)</f>
        <v>-24244.25</v>
      </c>
    </row>
    <row r="5" spans="1:10" x14ac:dyDescent="0.35">
      <c r="A5" s="111">
        <v>2</v>
      </c>
      <c r="B5" s="27" t="s">
        <v>128</v>
      </c>
      <c r="C5" s="27">
        <v>128585</v>
      </c>
      <c r="E5" s="109" t="str">
        <f t="shared" ref="E5:F20" si="0">B5</f>
        <v>2018 Qtr2</v>
      </c>
      <c r="F5" s="109">
        <f t="shared" si="0"/>
        <v>128585</v>
      </c>
      <c r="G5" s="87"/>
      <c r="H5" s="87"/>
      <c r="I5" s="87">
        <f t="shared" ref="I5:I7" si="1">F5-AVERAGE($F$4:$F$7)</f>
        <v>2566.75</v>
      </c>
      <c r="J5" s="87"/>
    </row>
    <row r="6" spans="1:10" x14ac:dyDescent="0.35">
      <c r="A6" s="111">
        <v>3</v>
      </c>
      <c r="B6" s="27" t="s">
        <v>129</v>
      </c>
      <c r="C6" s="27">
        <v>142768</v>
      </c>
      <c r="E6" s="109" t="str">
        <f t="shared" si="0"/>
        <v>2018 Qtr3</v>
      </c>
      <c r="F6" s="109">
        <f t="shared" si="0"/>
        <v>142768</v>
      </c>
      <c r="G6" s="87"/>
      <c r="H6" s="87"/>
      <c r="I6" s="87">
        <f t="shared" si="1"/>
        <v>16749.75</v>
      </c>
      <c r="J6" s="87"/>
    </row>
    <row r="7" spans="1:10" x14ac:dyDescent="0.35">
      <c r="A7" s="111">
        <v>4</v>
      </c>
      <c r="B7" s="27" t="s">
        <v>130</v>
      </c>
      <c r="C7" s="27">
        <v>130946</v>
      </c>
      <c r="E7" s="109" t="str">
        <f t="shared" si="0"/>
        <v>2018 Qtr4</v>
      </c>
      <c r="F7" s="109">
        <f t="shared" si="0"/>
        <v>130946</v>
      </c>
      <c r="G7" s="87">
        <f>F7-I7</f>
        <v>126018.25</v>
      </c>
      <c r="H7" s="87">
        <f>(AVERAGE(F8:F11)-AVERAGE(F4:F7))/4</f>
        <v>35154.1875</v>
      </c>
      <c r="I7" s="87">
        <f t="shared" si="1"/>
        <v>4927.75</v>
      </c>
      <c r="J7" s="87"/>
    </row>
    <row r="8" spans="1:10" x14ac:dyDescent="0.35">
      <c r="A8" s="111">
        <v>5</v>
      </c>
      <c r="B8" s="27" t="s">
        <v>131</v>
      </c>
      <c r="C8" s="27">
        <v>159580</v>
      </c>
      <c r="E8" s="109" t="str">
        <f t="shared" si="0"/>
        <v>2019 Qtr1</v>
      </c>
      <c r="F8" s="109">
        <f t="shared" si="0"/>
        <v>159580</v>
      </c>
      <c r="G8" s="87">
        <f>$F$32*(F8-I4)+(1-$F$32)*(G7+H7)</f>
        <v>174784.01675282748</v>
      </c>
      <c r="H8" s="87">
        <f>$G$32*(G8-G7)+(1-$G$32)*H7</f>
        <v>36308.919485120008</v>
      </c>
      <c r="I8" s="87">
        <f>$H$32*(F8-G8)+(1-$H$32)*I4</f>
        <v>-23378.320180783954</v>
      </c>
      <c r="J8" s="87">
        <f>G7+H7+I4</f>
        <v>136928.1875</v>
      </c>
    </row>
    <row r="9" spans="1:10" x14ac:dyDescent="0.35">
      <c r="A9" s="111">
        <v>6</v>
      </c>
      <c r="B9" s="27" t="s">
        <v>132</v>
      </c>
      <c r="C9" s="27">
        <v>253362</v>
      </c>
      <c r="E9" s="109" t="str">
        <f t="shared" si="0"/>
        <v>2019 Qtr2</v>
      </c>
      <c r="F9" s="109">
        <f t="shared" si="0"/>
        <v>253362</v>
      </c>
      <c r="G9" s="87">
        <f>$F$32*(F9-I5)+(1-$F$32)*(G8+H8)</f>
        <v>234950.24082639051</v>
      </c>
      <c r="H9" s="87">
        <f>$G$32*(G9-G8)+(1-$G$32)*H8</f>
        <v>38332.842806236687</v>
      </c>
      <c r="I9" s="87">
        <f>$H$32*(F9-G9)+(1-$H$32)*I5</f>
        <v>4084.483619701859</v>
      </c>
      <c r="J9" s="87">
        <f t="shared" ref="J9:J28" si="2">G8+H8+I5</f>
        <v>213659.68623794749</v>
      </c>
    </row>
    <row r="10" spans="1:10" x14ac:dyDescent="0.35">
      <c r="A10" s="111">
        <v>7</v>
      </c>
      <c r="B10" s="27" t="s">
        <v>133</v>
      </c>
      <c r="C10" s="27">
        <v>341740</v>
      </c>
      <c r="E10" s="109" t="str">
        <f t="shared" si="0"/>
        <v>2019 Qtr3</v>
      </c>
      <c r="F10" s="109">
        <f t="shared" si="0"/>
        <v>341740</v>
      </c>
      <c r="G10" s="87">
        <f>$F$32*(F10-I6)+(1-$F$32)*(G9+H9)</f>
        <v>304354.15986322152</v>
      </c>
      <c r="H10" s="87">
        <f>$G$32*(G10-G9)+(1-$G$32)*H9</f>
        <v>40968.743084164853</v>
      </c>
      <c r="I10" s="87">
        <f>$H$32*(F10-G10)+(1-$H$32)*I6</f>
        <v>18726.403180608537</v>
      </c>
      <c r="J10" s="87">
        <f t="shared" si="2"/>
        <v>290032.83363262721</v>
      </c>
    </row>
    <row r="11" spans="1:10" x14ac:dyDescent="0.35">
      <c r="A11" s="111">
        <v>8</v>
      </c>
      <c r="B11" s="27" t="s">
        <v>134</v>
      </c>
      <c r="C11" s="27">
        <v>311858</v>
      </c>
      <c r="E11" s="109" t="str">
        <f t="shared" si="0"/>
        <v>2019 Qtr4</v>
      </c>
      <c r="F11" s="109">
        <f t="shared" si="0"/>
        <v>311858</v>
      </c>
      <c r="G11" s="87">
        <f>$F$32*(F11-I7)+(1-$F$32)*(G10+H10)</f>
        <v>322252.57962029503</v>
      </c>
      <c r="H11" s="87">
        <f>$G$32*(G11-G10)+(1-$G$32)*H10</f>
        <v>39011.582951749013</v>
      </c>
      <c r="I11" s="87">
        <f>$H$32*(F11-G11)+(1-$H$32)*I7</f>
        <v>3460.0818817885015</v>
      </c>
      <c r="J11" s="87">
        <f t="shared" si="2"/>
        <v>350250.65294738638</v>
      </c>
    </row>
    <row r="12" spans="1:10" x14ac:dyDescent="0.35">
      <c r="A12" s="111">
        <v>9</v>
      </c>
      <c r="B12" s="27" t="s">
        <v>135</v>
      </c>
      <c r="C12" s="27">
        <v>250063</v>
      </c>
      <c r="E12" s="109" t="str">
        <f t="shared" si="0"/>
        <v>2020 Qtr1</v>
      </c>
      <c r="F12" s="109">
        <f t="shared" si="0"/>
        <v>250063</v>
      </c>
      <c r="G12" s="87">
        <f>$F$32*(F12-I8)+(1-$F$32)*(G11+H11)</f>
        <v>308491.00901458762</v>
      </c>
      <c r="H12" s="87">
        <f>$G$32*(G12-G11)+(1-$G$32)*H11</f>
        <v>34534.597053453195</v>
      </c>
      <c r="I12" s="87">
        <f>$H$32*(F12-G12)+(1-$H$32)*I8</f>
        <v>-26735.597574586471</v>
      </c>
      <c r="J12" s="87">
        <f t="shared" si="2"/>
        <v>337885.84239126008</v>
      </c>
    </row>
    <row r="13" spans="1:10" x14ac:dyDescent="0.35">
      <c r="A13" s="111">
        <v>10</v>
      </c>
      <c r="B13" s="27" t="s">
        <v>136</v>
      </c>
      <c r="C13" s="27">
        <v>91600</v>
      </c>
      <c r="E13" s="109" t="str">
        <f t="shared" si="0"/>
        <v>2020 Qtr2</v>
      </c>
      <c r="F13" s="109">
        <f t="shared" si="0"/>
        <v>91600</v>
      </c>
      <c r="G13" s="87">
        <f>$F$32*(F13-I9)+(1-$F$32)*(G12+H12)</f>
        <v>189488.40741421282</v>
      </c>
      <c r="H13" s="87">
        <f>$G$32*(G13-G12)+(1-$G$32)*H12</f>
        <v>21509.340329148348</v>
      </c>
      <c r="I13" s="87">
        <f>$H$32*(F13-G13)+(1-$H$32)*I9</f>
        <v>-5683.1147025596674</v>
      </c>
      <c r="J13" s="87">
        <f t="shared" si="2"/>
        <v>347110.0896877427</v>
      </c>
    </row>
    <row r="14" spans="1:10" x14ac:dyDescent="0.35">
      <c r="A14" s="111">
        <v>11</v>
      </c>
      <c r="B14" s="27" t="s">
        <v>137</v>
      </c>
      <c r="C14" s="27">
        <v>169303</v>
      </c>
      <c r="E14" s="109" t="str">
        <f t="shared" si="0"/>
        <v>2020 Qtr3</v>
      </c>
      <c r="F14" s="109">
        <f t="shared" si="0"/>
        <v>169303</v>
      </c>
      <c r="G14" s="87">
        <f>$F$32*(F14-I10)+(1-$F$32)*(G13+H13)</f>
        <v>174690.39775321522</v>
      </c>
      <c r="H14" s="87">
        <f>$G$32*(G14-G13)+(1-$G$32)*H13</f>
        <v>18429.223206084978</v>
      </c>
      <c r="I14" s="87">
        <f>$H$32*(F14-G14)+(1-$H$32)*I10</f>
        <v>16416.633209820611</v>
      </c>
      <c r="J14" s="87">
        <f t="shared" si="2"/>
        <v>229724.15092396969</v>
      </c>
    </row>
    <row r="15" spans="1:10" x14ac:dyDescent="0.35">
      <c r="A15" s="111">
        <v>12</v>
      </c>
      <c r="B15" s="27" t="s">
        <v>138</v>
      </c>
      <c r="C15" s="27">
        <v>190752</v>
      </c>
      <c r="E15" s="109" t="str">
        <f t="shared" si="0"/>
        <v>2020 Qtr4</v>
      </c>
      <c r="F15" s="109">
        <f t="shared" si="0"/>
        <v>190752</v>
      </c>
      <c r="G15" s="87">
        <f>$F$32*(F15-I11)+(1-$F$32)*(G14+H14)</f>
        <v>189617.7272771321</v>
      </c>
      <c r="H15" s="87">
        <f>$G$32*(G15-G14)+(1-$G$32)*H14</f>
        <v>18132.141686874107</v>
      </c>
      <c r="I15" s="87">
        <f>$H$32*(F15-G15)+(1-$H$32)*I11</f>
        <v>3237.3014015232334</v>
      </c>
      <c r="J15" s="87">
        <f t="shared" si="2"/>
        <v>196579.7028410887</v>
      </c>
    </row>
    <row r="16" spans="1:10" x14ac:dyDescent="0.35">
      <c r="A16" s="111">
        <v>13</v>
      </c>
      <c r="B16" s="27" t="s">
        <v>139</v>
      </c>
      <c r="C16" s="27">
        <v>180074</v>
      </c>
      <c r="E16" s="109" t="str">
        <f t="shared" si="0"/>
        <v>2021 Qtr1</v>
      </c>
      <c r="F16" s="109">
        <f t="shared" si="0"/>
        <v>180074</v>
      </c>
      <c r="G16" s="87">
        <f>$F$32*(F16-I12)+(1-$F$32)*(G15+H15)</f>
        <v>207184.85552253202</v>
      </c>
      <c r="H16" s="87">
        <f>$G$32*(G16-G15)+(1-$G$32)*H15</f>
        <v>18084.209034771491</v>
      </c>
      <c r="I16" s="87">
        <f>$H$32*(F16-G16)+(1-$H$32)*I12</f>
        <v>-26771.542116960478</v>
      </c>
      <c r="J16" s="87">
        <f t="shared" si="2"/>
        <v>181014.27138941974</v>
      </c>
    </row>
    <row r="17" spans="1:10" x14ac:dyDescent="0.35">
      <c r="A17" s="111">
        <v>14</v>
      </c>
      <c r="B17" s="27" t="s">
        <v>140</v>
      </c>
      <c r="C17" s="27">
        <v>53804</v>
      </c>
      <c r="E17" s="109" t="str">
        <f t="shared" si="0"/>
        <v>2021 Qtr2</v>
      </c>
      <c r="F17" s="109">
        <f t="shared" si="0"/>
        <v>53804</v>
      </c>
      <c r="G17" s="87">
        <f>$F$32*(F17-I13)+(1-$F$32)*(G16+H16)</f>
        <v>125649.92153569695</v>
      </c>
      <c r="H17" s="87">
        <f>$G$32*(G17-G16)+(1-$G$32)*H16</f>
        <v>9633.0654429360256</v>
      </c>
      <c r="I17" s="87">
        <f>$H$32*(F17-G17)+(1-$H$32)*I13</f>
        <v>-12020.600229027004</v>
      </c>
      <c r="J17" s="87">
        <f t="shared" si="2"/>
        <v>219585.94985474384</v>
      </c>
    </row>
    <row r="18" spans="1:10" x14ac:dyDescent="0.35">
      <c r="A18" s="111">
        <v>15</v>
      </c>
      <c r="B18" s="27" t="s">
        <v>141</v>
      </c>
      <c r="C18" s="27">
        <v>29102</v>
      </c>
      <c r="E18" s="109" t="str">
        <f t="shared" si="0"/>
        <v>2021 Qtr3</v>
      </c>
      <c r="F18" s="109">
        <f t="shared" si="0"/>
        <v>29102</v>
      </c>
      <c r="G18" s="87">
        <f>$F$32*(F18-I14)+(1-$F$32)*(G17+H17)</f>
        <v>61613.508061518645</v>
      </c>
      <c r="H18" s="87">
        <f>$G$32*(G18-G17)+(1-$G$32)*H17</f>
        <v>3383.3495170602746</v>
      </c>
      <c r="I18" s="87">
        <f>$H$32*(F18-G18)+(1-$H$32)*I14</f>
        <v>11729.991243041792</v>
      </c>
      <c r="J18" s="87">
        <f t="shared" si="2"/>
        <v>151699.62018845358</v>
      </c>
    </row>
    <row r="19" spans="1:10" x14ac:dyDescent="0.35">
      <c r="A19" s="111">
        <v>16</v>
      </c>
      <c r="B19" s="27" t="s">
        <v>142</v>
      </c>
      <c r="C19" s="27">
        <v>68234</v>
      </c>
      <c r="E19" s="109" t="str">
        <f t="shared" si="0"/>
        <v>2021 Qtr4</v>
      </c>
      <c r="F19" s="109">
        <f t="shared" si="0"/>
        <v>68234</v>
      </c>
      <c r="G19" s="87">
        <f>$F$32*(F19-I15)+(1-$F$32)*(G18+H18)</f>
        <v>64996.762046697753</v>
      </c>
      <c r="H19" s="87">
        <f>$G$32*(G19-G18)+(1-$G$32)*H18</f>
        <v>3383.3414126576381</v>
      </c>
      <c r="I19" s="87">
        <f>$H$32*(F19-G19)+(1-$H$32)*I15</f>
        <v>3237.2953240576389</v>
      </c>
      <c r="J19" s="87">
        <f t="shared" si="2"/>
        <v>68234.158980102162</v>
      </c>
    </row>
    <row r="20" spans="1:10" x14ac:dyDescent="0.35">
      <c r="A20" s="111">
        <v>17</v>
      </c>
      <c r="B20" s="27" t="s">
        <v>143</v>
      </c>
      <c r="C20" s="27">
        <v>114171</v>
      </c>
      <c r="E20" s="109" t="str">
        <f t="shared" si="0"/>
        <v>2022 Qtr1</v>
      </c>
      <c r="F20" s="109">
        <f t="shared" si="0"/>
        <v>114171</v>
      </c>
      <c r="G20" s="87">
        <f t="shared" ref="G20:G28" si="3">$F$32*(F20-I16)+(1-$F$32)*(G19+H19)</f>
        <v>111983.20959341965</v>
      </c>
      <c r="H20" s="87">
        <f t="shared" ref="H20:H28" si="4">$G$32*(G20-G19)+(1-$G$32)*H19</f>
        <v>7082.3906095483917</v>
      </c>
      <c r="I20" s="87">
        <f t="shared" ref="I20:I28" si="5">$H$32*(F20-G20)+(1-$H$32)*I16</f>
        <v>-23997.636965279777</v>
      </c>
      <c r="J20" s="87">
        <f t="shared" si="2"/>
        <v>41608.561342394911</v>
      </c>
    </row>
    <row r="21" spans="1:10" x14ac:dyDescent="0.35">
      <c r="A21" s="111">
        <v>18</v>
      </c>
      <c r="B21" t="s">
        <v>144</v>
      </c>
      <c r="C21">
        <v>107045</v>
      </c>
      <c r="E21" s="109" t="str">
        <f t="shared" ref="E21:F29" si="6">B21</f>
        <v>2022 Qtr2</v>
      </c>
      <c r="F21" s="109">
        <f t="shared" si="6"/>
        <v>107045</v>
      </c>
      <c r="G21" s="87">
        <f t="shared" si="3"/>
        <v>119065.60021862702</v>
      </c>
      <c r="H21" s="87">
        <f t="shared" si="4"/>
        <v>7082.3906108768133</v>
      </c>
      <c r="I21" s="87">
        <f t="shared" si="5"/>
        <v>-12020.600228030829</v>
      </c>
      <c r="J21" s="87">
        <f t="shared" si="2"/>
        <v>107044.99997394104</v>
      </c>
    </row>
    <row r="22" spans="1:10" x14ac:dyDescent="0.35">
      <c r="A22" s="111">
        <v>19</v>
      </c>
      <c r="B22" t="s">
        <v>145</v>
      </c>
      <c r="C22">
        <v>115175</v>
      </c>
      <c r="E22" s="109" t="str">
        <f t="shared" si="6"/>
        <v>2022 Qtr3</v>
      </c>
      <c r="F22" s="109">
        <f t="shared" si="6"/>
        <v>115175</v>
      </c>
      <c r="G22" s="87">
        <f t="shared" si="3"/>
        <v>112505.66354306811</v>
      </c>
      <c r="H22" s="87">
        <f t="shared" si="4"/>
        <v>5925.0501306492597</v>
      </c>
      <c r="I22" s="87">
        <f t="shared" si="5"/>
        <v>10862.105321694678</v>
      </c>
      <c r="J22" s="87">
        <f t="shared" si="2"/>
        <v>137877.98207254562</v>
      </c>
    </row>
    <row r="23" spans="1:10" x14ac:dyDescent="0.35">
      <c r="A23" s="111">
        <v>20</v>
      </c>
      <c r="B23" t="s">
        <v>146</v>
      </c>
      <c r="C23">
        <v>121668</v>
      </c>
      <c r="E23" s="109" t="str">
        <f t="shared" si="6"/>
        <v>2022 Qtr4</v>
      </c>
      <c r="F23" s="109">
        <f t="shared" si="6"/>
        <v>121668</v>
      </c>
      <c r="G23" s="87">
        <f t="shared" si="3"/>
        <v>118430.70826691261</v>
      </c>
      <c r="H23" s="87">
        <f t="shared" si="4"/>
        <v>5925.0496719654966</v>
      </c>
      <c r="I23" s="87">
        <f t="shared" si="5"/>
        <v>3237.2949800921533</v>
      </c>
      <c r="J23" s="87">
        <f t="shared" si="2"/>
        <v>121668.008997775</v>
      </c>
    </row>
    <row r="24" spans="1:10" x14ac:dyDescent="0.35">
      <c r="A24" s="111">
        <v>21</v>
      </c>
      <c r="B24" s="27" t="s">
        <v>147</v>
      </c>
      <c r="C24" s="27">
        <v>114967</v>
      </c>
      <c r="D24" s="27"/>
      <c r="E24" s="109" t="str">
        <f t="shared" si="6"/>
        <v>2023 Qtr1</v>
      </c>
      <c r="F24" s="109">
        <f t="shared" si="6"/>
        <v>114967</v>
      </c>
      <c r="G24" s="87">
        <f t="shared" si="3"/>
        <v>133134.3011421134</v>
      </c>
      <c r="H24" s="87">
        <f t="shared" si="4"/>
        <v>6669.7732952311753</v>
      </c>
      <c r="I24" s="87">
        <f t="shared" si="5"/>
        <v>-23439.171104135945</v>
      </c>
      <c r="J24" s="87">
        <f t="shared" si="2"/>
        <v>100358.12097359833</v>
      </c>
    </row>
    <row r="25" spans="1:10" x14ac:dyDescent="0.35">
      <c r="A25" s="111">
        <v>22</v>
      </c>
      <c r="B25" s="27" t="s">
        <v>148</v>
      </c>
      <c r="C25" s="27">
        <v>128202</v>
      </c>
      <c r="D25" s="27"/>
      <c r="E25" s="109" t="str">
        <f t="shared" si="6"/>
        <v>2023 Qtr2</v>
      </c>
      <c r="F25" s="109">
        <f t="shared" si="6"/>
        <v>128202</v>
      </c>
      <c r="G25" s="87">
        <f t="shared" si="3"/>
        <v>140055.56852724479</v>
      </c>
      <c r="H25" s="87">
        <f t="shared" si="4"/>
        <v>6691.1086791923053</v>
      </c>
      <c r="I25" s="87">
        <f t="shared" si="5"/>
        <v>-12004.600891895312</v>
      </c>
      <c r="J25" s="87">
        <f t="shared" si="2"/>
        <v>127783.47420931373</v>
      </c>
    </row>
    <row r="26" spans="1:10" x14ac:dyDescent="0.35">
      <c r="A26" s="111">
        <v>23</v>
      </c>
      <c r="B26" t="s">
        <v>149</v>
      </c>
      <c r="C26">
        <v>138447</v>
      </c>
      <c r="E26" s="109" t="str">
        <f t="shared" si="6"/>
        <v>2023 Qtr3</v>
      </c>
      <c r="F26" s="109">
        <f t="shared" si="6"/>
        <v>138447</v>
      </c>
      <c r="G26" s="87">
        <f t="shared" si="3"/>
        <v>135232.27316008936</v>
      </c>
      <c r="H26" s="87">
        <f t="shared" si="4"/>
        <v>5714.2895757696797</v>
      </c>
      <c r="I26" s="87">
        <f t="shared" si="5"/>
        <v>10129.591802944586</v>
      </c>
      <c r="J26" s="87">
        <f t="shared" si="2"/>
        <v>157608.78252813179</v>
      </c>
    </row>
    <row r="27" spans="1:10" x14ac:dyDescent="0.35">
      <c r="A27" s="111">
        <v>24</v>
      </c>
      <c r="B27" t="s">
        <v>150</v>
      </c>
      <c r="C27">
        <v>154073</v>
      </c>
      <c r="E27" s="109" t="str">
        <f t="shared" si="6"/>
        <v>2023 Qtr4</v>
      </c>
      <c r="F27" s="109">
        <f t="shared" si="6"/>
        <v>154073</v>
      </c>
      <c r="G27" s="87">
        <f t="shared" si="3"/>
        <v>146888.99422745901</v>
      </c>
      <c r="H27" s="87">
        <f t="shared" si="4"/>
        <v>6218.4129831479586</v>
      </c>
      <c r="I27" s="87">
        <f t="shared" si="5"/>
        <v>3615.3355095300562</v>
      </c>
      <c r="J27" s="87">
        <f t="shared" si="2"/>
        <v>144183.85771595119</v>
      </c>
    </row>
    <row r="28" spans="1:10" x14ac:dyDescent="0.35">
      <c r="A28" s="112">
        <v>25</v>
      </c>
      <c r="B28" s="28" t="s">
        <v>151</v>
      </c>
      <c r="C28" s="28">
        <v>141367</v>
      </c>
      <c r="E28" s="113" t="str">
        <f t="shared" si="6"/>
        <v>2024 Qtr1</v>
      </c>
      <c r="F28" s="113">
        <f t="shared" si="6"/>
        <v>141367</v>
      </c>
      <c r="G28" s="110">
        <f t="shared" si="3"/>
        <v>160137.24872535933</v>
      </c>
      <c r="H28" s="110">
        <f t="shared" si="4"/>
        <v>6814.786313283239</v>
      </c>
      <c r="I28" s="110">
        <f t="shared" si="5"/>
        <v>-22991.952652924821</v>
      </c>
      <c r="J28" s="87">
        <f t="shared" si="2"/>
        <v>129668.23610647101</v>
      </c>
    </row>
    <row r="29" spans="1:10" x14ac:dyDescent="0.35">
      <c r="E29" s="27"/>
    </row>
    <row r="31" spans="1:10" x14ac:dyDescent="0.35">
      <c r="F31" s="22" t="s">
        <v>28</v>
      </c>
      <c r="G31" s="22" t="s">
        <v>51</v>
      </c>
      <c r="H31" s="22" t="s">
        <v>52</v>
      </c>
    </row>
    <row r="32" spans="1:10" x14ac:dyDescent="0.35">
      <c r="F32" s="30">
        <v>0.60090464075788497</v>
      </c>
      <c r="G32" s="31">
        <v>8.4834534161797426E-2</v>
      </c>
      <c r="H32" s="32">
        <v>9.5786225370554284E-2</v>
      </c>
    </row>
    <row r="34" spans="8:12" x14ac:dyDescent="0.35">
      <c r="I34" s="22" t="s">
        <v>36</v>
      </c>
      <c r="J34" s="22" t="s">
        <v>37</v>
      </c>
      <c r="K34" s="22" t="s">
        <v>38</v>
      </c>
      <c r="L34" s="22" t="s">
        <v>56</v>
      </c>
    </row>
    <row r="35" spans="8:12" x14ac:dyDescent="0.35">
      <c r="H35" t="s">
        <v>120</v>
      </c>
      <c r="I35" s="43" cm="1">
        <f t="array" ref="I35">SUMPRODUCT(ABS($F$19:$F$24-$J$19:$J$24))/COUNT($J$19:$J$24)</f>
        <v>18312.411293414752</v>
      </c>
      <c r="J35" s="114">
        <f>(SUMXMY2($F$19:$F$24,$J$19:$J$24)/COUNT($J$19:$J$24))^0.5</f>
        <v>31607.36265850734</v>
      </c>
      <c r="K35" s="45" cm="1">
        <f t="array" ref="K35">SUMPRODUCT(ABS(1-$J$19:$J$24/$F$19:$F$24))/COUNT($J$19:$J$24)</f>
        <v>0.15995819227221461</v>
      </c>
      <c r="L35" s="19" cm="1">
        <f t="array" ref="L35">SUM($J$19:$J$24-$F$19:$F$24)</f>
        <v>-64468.167659642932</v>
      </c>
    </row>
    <row r="36" spans="8:12" x14ac:dyDescent="0.35">
      <c r="H36" t="s">
        <v>119</v>
      </c>
      <c r="I36" s="43" cm="1">
        <f t="array" ref="I36">SUMPRODUCT(ABS($F$25:$F$28-$J$25:$J$28))/COUNT($J$25:$J$28)</f>
        <v>10292.053624098964</v>
      </c>
      <c r="J36" s="114">
        <f>(SUMXMY2($F$25:$F$28,$J$25:$J$28)/COUNT($J$25:$J$28))^0.5</f>
        <v>12267.897998878883</v>
      </c>
      <c r="K36" s="45" cm="1">
        <f t="array" ref="K36">SUMPRODUCT(ABS(1-$J$25:$J$28/$F$25:$F$28))/COUNT($J$25:$J$28)</f>
        <v>7.2152277353017519E-2</v>
      </c>
      <c r="L36" s="19" cm="1">
        <f t="array" ref="L36">SUM($J$25:$J$28-$F$25:$F$28)</f>
        <v>-2844.6494401322707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05CF-9235-4BE5-B0A0-0CC0662C1C1A}">
  <dimension ref="A1:L36"/>
  <sheetViews>
    <sheetView topLeftCell="A18" zoomScale="98" zoomScaleNormal="98" workbookViewId="0">
      <selection activeCell="L34" sqref="L34:L36"/>
    </sheetView>
  </sheetViews>
  <sheetFormatPr defaultRowHeight="14.5" x14ac:dyDescent="0.35"/>
  <cols>
    <col min="2" max="2" width="9.1796875" bestFit="1" customWidth="1"/>
    <col min="3" max="3" width="7" bestFit="1" customWidth="1"/>
    <col min="5" max="5" width="11.81640625" customWidth="1"/>
  </cols>
  <sheetData>
    <row r="1" spans="1:10" x14ac:dyDescent="0.35">
      <c r="A1" s="24" t="s">
        <v>42</v>
      </c>
      <c r="E1" s="24" t="s">
        <v>58</v>
      </c>
    </row>
    <row r="2" spans="1:10" ht="15" thickBot="1" x14ac:dyDescent="0.4"/>
    <row r="3" spans="1:10" ht="15" thickTop="1" x14ac:dyDescent="0.35">
      <c r="A3" s="25" t="s">
        <v>44</v>
      </c>
      <c r="B3" s="25" t="s">
        <v>45</v>
      </c>
      <c r="C3" s="25" t="s">
        <v>46</v>
      </c>
      <c r="E3" s="26" t="str">
        <f>B3</f>
        <v>qtr</v>
      </c>
      <c r="F3" s="26" t="str">
        <f>C3</f>
        <v>y</v>
      </c>
      <c r="G3" s="26" t="s">
        <v>47</v>
      </c>
      <c r="H3" s="26" t="s">
        <v>48</v>
      </c>
      <c r="I3" s="26" t="s">
        <v>49</v>
      </c>
      <c r="J3" s="26" t="s">
        <v>50</v>
      </c>
    </row>
    <row r="4" spans="1:10" x14ac:dyDescent="0.35">
      <c r="A4" s="111">
        <v>1</v>
      </c>
      <c r="B4" s="27" t="s">
        <v>127</v>
      </c>
      <c r="C4" s="27">
        <v>101774</v>
      </c>
      <c r="E4" t="str">
        <f>B4</f>
        <v>2018 Qtr1</v>
      </c>
      <c r="F4">
        <f>C4</f>
        <v>101774</v>
      </c>
      <c r="I4">
        <f>F4/AVERAGE($F$4:$F$7)</f>
        <v>0.80761318301119089</v>
      </c>
    </row>
    <row r="5" spans="1:10" x14ac:dyDescent="0.35">
      <c r="A5" s="111">
        <v>2</v>
      </c>
      <c r="B5" s="27" t="s">
        <v>128</v>
      </c>
      <c r="C5" s="27">
        <v>128585</v>
      </c>
      <c r="E5" t="str">
        <f t="shared" ref="E5:F19" si="0">B5</f>
        <v>2018 Qtr2</v>
      </c>
      <c r="F5">
        <f t="shared" si="0"/>
        <v>128585</v>
      </c>
      <c r="I5">
        <f t="shared" ref="I5:I7" si="1">F5/AVERAGE($F$4:$F$7)</f>
        <v>1.0203680816072276</v>
      </c>
    </row>
    <row r="6" spans="1:10" x14ac:dyDescent="0.35">
      <c r="A6" s="111">
        <v>3</v>
      </c>
      <c r="B6" s="27" t="s">
        <v>129</v>
      </c>
      <c r="C6" s="27">
        <v>142768</v>
      </c>
      <c r="E6" t="str">
        <f t="shared" si="0"/>
        <v>2018 Qtr3</v>
      </c>
      <c r="F6">
        <f t="shared" si="0"/>
        <v>142768</v>
      </c>
      <c r="I6">
        <f t="shared" si="1"/>
        <v>1.132915272192718</v>
      </c>
    </row>
    <row r="7" spans="1:10" x14ac:dyDescent="0.35">
      <c r="A7" s="111">
        <v>4</v>
      </c>
      <c r="B7" s="27" t="s">
        <v>130</v>
      </c>
      <c r="C7" s="27">
        <v>130946</v>
      </c>
      <c r="E7" t="str">
        <f t="shared" si="0"/>
        <v>2018 Qtr4</v>
      </c>
      <c r="F7">
        <f t="shared" si="0"/>
        <v>130946</v>
      </c>
      <c r="G7">
        <f>F7/I7</f>
        <v>126018.24999999999</v>
      </c>
      <c r="H7">
        <f>(AVERAGE(F8:F11)-AVERAGE(F4:F7))/4</f>
        <v>35154.1875</v>
      </c>
      <c r="I7">
        <f t="shared" si="1"/>
        <v>1.0391034631888636</v>
      </c>
    </row>
    <row r="8" spans="1:10" x14ac:dyDescent="0.35">
      <c r="A8" s="111">
        <v>5</v>
      </c>
      <c r="B8" s="27" t="s">
        <v>131</v>
      </c>
      <c r="C8" s="27">
        <v>159580</v>
      </c>
      <c r="E8" t="str">
        <f t="shared" si="0"/>
        <v>2019 Qtr1</v>
      </c>
      <c r="F8">
        <f t="shared" si="0"/>
        <v>159580</v>
      </c>
      <c r="G8">
        <f>$F$32*F8/I4+(1-$F$32)*(G7+H7)</f>
        <v>183702.04154342227</v>
      </c>
      <c r="H8">
        <f>$G$32*(G8-G7)+(1-$G$32)*H7</f>
        <v>37304.734561881662</v>
      </c>
      <c r="I8">
        <f>$H$32*(F8/G8)+(1-$H$32)*I4</f>
        <v>0.8139437029980845</v>
      </c>
      <c r="J8">
        <f>(G7+H7)*I4</f>
        <v>130164.98526304723</v>
      </c>
    </row>
    <row r="9" spans="1:10" x14ac:dyDescent="0.35">
      <c r="A9" s="111">
        <v>6</v>
      </c>
      <c r="B9" s="27" t="s">
        <v>132</v>
      </c>
      <c r="C9" s="27">
        <v>253362</v>
      </c>
      <c r="E9" t="str">
        <f t="shared" si="0"/>
        <v>2019 Qtr2</v>
      </c>
      <c r="F9">
        <f t="shared" si="0"/>
        <v>253362</v>
      </c>
      <c r="G9">
        <f>$F$32*F9/I5+(1-$F$32)*(G8+H8)</f>
        <v>237892.29994625947</v>
      </c>
      <c r="H9">
        <f>$G$32*(G9-G8)+(1-$G$32)*H8</f>
        <v>38916.530029503374</v>
      </c>
      <c r="I9">
        <f>$H$32*(F9/G9)+(1-$H$32)*I5</f>
        <v>1.0249970842273444</v>
      </c>
      <c r="J9">
        <f t="shared" ref="J9:J19" si="2">(G8+H8)*I5</f>
        <v>225508.26015676704</v>
      </c>
    </row>
    <row r="10" spans="1:10" x14ac:dyDescent="0.35">
      <c r="A10" s="111">
        <v>7</v>
      </c>
      <c r="B10" s="27" t="s">
        <v>133</v>
      </c>
      <c r="C10" s="27">
        <v>341740</v>
      </c>
      <c r="E10" t="str">
        <f t="shared" si="0"/>
        <v>2019 Qtr3</v>
      </c>
      <c r="F10">
        <f t="shared" si="0"/>
        <v>341740</v>
      </c>
      <c r="G10">
        <f>$F$32*F10/I6+(1-$F$32)*(G9+H9)</f>
        <v>292172.67342908599</v>
      </c>
      <c r="H10">
        <f>$G$32*(G10-G9)+(1-$G$32)*H9</f>
        <v>40383.0745961133</v>
      </c>
      <c r="I10">
        <f>$H$32*(F10/G10)+(1-$H$32)*I6</f>
        <v>1.13672289674646</v>
      </c>
      <c r="J10">
        <f t="shared" si="2"/>
        <v>313600.9509573392</v>
      </c>
    </row>
    <row r="11" spans="1:10" x14ac:dyDescent="0.35">
      <c r="A11" s="111">
        <v>8</v>
      </c>
      <c r="B11" s="27" t="s">
        <v>134</v>
      </c>
      <c r="C11" s="27">
        <v>311858</v>
      </c>
      <c r="E11" t="str">
        <f t="shared" si="0"/>
        <v>2019 Qtr4</v>
      </c>
      <c r="F11">
        <f t="shared" si="0"/>
        <v>311858</v>
      </c>
      <c r="G11">
        <f>$F$32*F11/I7+(1-$F$32)*(G10+H10)</f>
        <v>312493.3624467419</v>
      </c>
      <c r="H11">
        <f>$G$32*(G11-G10)+(1-$G$32)*H10</f>
        <v>38468.034088657732</v>
      </c>
      <c r="I11">
        <f>$H$32*(F11/G11)+(1-$H$32)*I7</f>
        <v>1.0348396617037596</v>
      </c>
      <c r="J11">
        <f t="shared" si="2"/>
        <v>345559.82947634766</v>
      </c>
    </row>
    <row r="12" spans="1:10" x14ac:dyDescent="0.35">
      <c r="A12" s="111">
        <v>9</v>
      </c>
      <c r="B12" s="27" t="s">
        <v>135</v>
      </c>
      <c r="C12" s="27">
        <v>250063</v>
      </c>
      <c r="E12" t="str">
        <f t="shared" si="0"/>
        <v>2020 Qtr1</v>
      </c>
      <c r="F12">
        <f t="shared" si="0"/>
        <v>250063</v>
      </c>
      <c r="G12">
        <f>$F$32*F12/I8+(1-$F$32)*(G11+H11)</f>
        <v>323906.78472154506</v>
      </c>
      <c r="H12">
        <f>$G$32*(G12-G11)+(1-$G$32)*H11</f>
        <v>35885.555682268663</v>
      </c>
      <c r="I12">
        <f>$H$32*(F12/G12)+(1-$H$32)*I8</f>
        <v>0.8095984803146985</v>
      </c>
      <c r="J12">
        <f t="shared" si="2"/>
        <v>285662.81870540226</v>
      </c>
    </row>
    <row r="13" spans="1:10" x14ac:dyDescent="0.35">
      <c r="A13" s="111">
        <v>10</v>
      </c>
      <c r="B13" s="27" t="s">
        <v>136</v>
      </c>
      <c r="C13" s="27">
        <v>91600</v>
      </c>
      <c r="E13" t="str">
        <f t="shared" si="0"/>
        <v>2020 Qtr2</v>
      </c>
      <c r="F13">
        <f t="shared" si="0"/>
        <v>91600</v>
      </c>
      <c r="G13">
        <f>$F$32*F13/I9+(1-$F$32)*(G12+H12)</f>
        <v>192515.15746190137</v>
      </c>
      <c r="H13">
        <f>$G$32*(G13-G12)+(1-$G$32)*H12</f>
        <v>19918.233149558662</v>
      </c>
      <c r="I13">
        <f>$H$32*(F13/G13)+(1-$H$32)*I9</f>
        <v>0.968073686412254</v>
      </c>
      <c r="J13">
        <f t="shared" si="2"/>
        <v>368786.09984124126</v>
      </c>
    </row>
    <row r="14" spans="1:10" x14ac:dyDescent="0.35">
      <c r="A14" s="111">
        <v>11</v>
      </c>
      <c r="B14" s="27" t="s">
        <v>137</v>
      </c>
      <c r="C14" s="27">
        <v>169303</v>
      </c>
      <c r="E14" t="str">
        <f t="shared" si="0"/>
        <v>2020 Qtr3</v>
      </c>
      <c r="F14">
        <f t="shared" si="0"/>
        <v>169303</v>
      </c>
      <c r="G14">
        <f>$F$32*F14/I10+(1-$F$32)*(G13+H13)</f>
        <v>173158.09468674139</v>
      </c>
      <c r="H14">
        <f>$G$32*(G14-G13)+(1-$G$32)*H13</f>
        <v>16169.238178646319</v>
      </c>
      <c r="I14">
        <f>$H$32*(F14/G14)+(1-$H$32)*I10</f>
        <v>1.1202440170212513</v>
      </c>
      <c r="J14">
        <f t="shared" si="2"/>
        <v>241477.89914153109</v>
      </c>
    </row>
    <row r="15" spans="1:10" x14ac:dyDescent="0.35">
      <c r="A15" s="111">
        <v>12</v>
      </c>
      <c r="B15" s="27" t="s">
        <v>138</v>
      </c>
      <c r="C15" s="27">
        <v>190752</v>
      </c>
      <c r="E15" t="str">
        <f t="shared" si="0"/>
        <v>2020 Qtr4</v>
      </c>
      <c r="F15">
        <f t="shared" si="0"/>
        <v>190752</v>
      </c>
      <c r="G15">
        <f>$F$32*F15/I11+(1-$F$32)*(G14+H14)</f>
        <v>186236.14262716621</v>
      </c>
      <c r="H15">
        <f>$G$32*(G15-G14)+(1-$G$32)*H14</f>
        <v>15874.170849823673</v>
      </c>
      <c r="I15">
        <f>$H$32*(F15/G15)+(1-$H$32)*I11</f>
        <v>1.0337418414490083</v>
      </c>
      <c r="J15">
        <f t="shared" si="2"/>
        <v>195923.4330936929</v>
      </c>
    </row>
    <row r="16" spans="1:10" x14ac:dyDescent="0.35">
      <c r="A16" s="111">
        <v>13</v>
      </c>
      <c r="B16" s="27" t="s">
        <v>139</v>
      </c>
      <c r="C16" s="27">
        <v>180074</v>
      </c>
      <c r="E16" t="str">
        <f t="shared" si="0"/>
        <v>2021 Qtr1</v>
      </c>
      <c r="F16">
        <f t="shared" si="0"/>
        <v>180074</v>
      </c>
      <c r="G16">
        <f>$F$32*F16/I12+(1-$F$32)*(G15+H15)</f>
        <v>214675.62147907203</v>
      </c>
      <c r="H16">
        <f>$G$32*(G16-G15)+(1-$G$32)*H15</f>
        <v>17073.583238671461</v>
      </c>
      <c r="I16">
        <f>$H$32*(F16/G16)+(1-$H$32)*I12</f>
        <v>0.81262718202273665</v>
      </c>
      <c r="J16">
        <f t="shared" si="2"/>
        <v>163628.20264689834</v>
      </c>
    </row>
    <row r="17" spans="1:10" x14ac:dyDescent="0.35">
      <c r="A17" s="111">
        <v>14</v>
      </c>
      <c r="B17" s="27" t="s">
        <v>140</v>
      </c>
      <c r="C17" s="27">
        <v>53804</v>
      </c>
      <c r="E17" t="str">
        <f t="shared" si="0"/>
        <v>2021 Qtr2</v>
      </c>
      <c r="F17">
        <f t="shared" si="0"/>
        <v>53804</v>
      </c>
      <c r="G17">
        <f>$F$32*F17/I13+(1-$F$32)*(G16+H16)</f>
        <v>122775.48077819686</v>
      </c>
      <c r="H17">
        <f>$G$32*(G17-G16)+(1-$G$32)*H16</f>
        <v>6671.5752234033498</v>
      </c>
      <c r="I17">
        <f>$H$32*(F17/G17)+(1-$H$32)*I13</f>
        <v>0.91315565352678929</v>
      </c>
      <c r="J17">
        <f t="shared" si="2"/>
        <v>224350.30693421408</v>
      </c>
    </row>
    <row r="18" spans="1:10" x14ac:dyDescent="0.35">
      <c r="A18" s="111">
        <v>15</v>
      </c>
      <c r="B18" s="27" t="s">
        <v>141</v>
      </c>
      <c r="C18" s="27">
        <v>29102</v>
      </c>
      <c r="E18" t="str">
        <f t="shared" si="0"/>
        <v>2021 Qtr3</v>
      </c>
      <c r="F18">
        <f t="shared" si="0"/>
        <v>29102</v>
      </c>
      <c r="G18">
        <f>$F$32*F18/I14+(1-$F$32)*(G17+H17)</f>
        <v>65444.510417012018</v>
      </c>
      <c r="H18">
        <f>$G$32*(G18-G17)+(1-$G$32)*H17</f>
        <v>562.25851749929461</v>
      </c>
      <c r="I18">
        <f>$H$32*(F18/G18)+(1-$H$32)*I14</f>
        <v>1.0502222500090073</v>
      </c>
      <c r="J18">
        <f t="shared" si="2"/>
        <v>145012.29000680748</v>
      </c>
    </row>
    <row r="19" spans="1:10" x14ac:dyDescent="0.35">
      <c r="A19" s="111">
        <v>16</v>
      </c>
      <c r="B19" s="27" t="s">
        <v>142</v>
      </c>
      <c r="C19" s="27">
        <v>68234</v>
      </c>
      <c r="E19" t="str">
        <f t="shared" ref="E19:E29" si="3">B19</f>
        <v>2021 Qtr4</v>
      </c>
      <c r="F19">
        <f t="shared" ref="F19:F29" si="4">C19</f>
        <v>68234</v>
      </c>
      <c r="G19">
        <f>$F$32*F19/I15+(1-$F$32)*(G18+H18)</f>
        <v>66006.793547926107</v>
      </c>
      <c r="H19">
        <f>$G$32*(G19-G18)+(1-$G$32)*H18</f>
        <v>562.26086695500487</v>
      </c>
      <c r="I19">
        <f>$H$32*(F19/G19)+(1-$H$32)*I15</f>
        <v>1.0337418660862303</v>
      </c>
      <c r="J19">
        <f t="shared" ref="J19:J29" si="5">(G18+H18)*I15</f>
        <v>68233.958866460918</v>
      </c>
    </row>
    <row r="20" spans="1:10" x14ac:dyDescent="0.35">
      <c r="A20" s="111">
        <v>17</v>
      </c>
      <c r="B20" s="27" t="s">
        <v>143</v>
      </c>
      <c r="C20" s="27">
        <v>114171</v>
      </c>
      <c r="E20" t="str">
        <f t="shared" si="3"/>
        <v>2022 Qtr1</v>
      </c>
      <c r="F20">
        <f t="shared" si="4"/>
        <v>114171</v>
      </c>
      <c r="G20">
        <f>$F$32*F20/I16+(1-$F$32)*(G19+H19)</f>
        <v>112298.0435767918</v>
      </c>
      <c r="H20">
        <f>$G$32*(G20-G19)+(1-$G$32)*H19</f>
        <v>4927.2884588925263</v>
      </c>
      <c r="I20">
        <f>$H$32*(F20/G20)+(1-$H$32)*I16</f>
        <v>0.8337770258542111</v>
      </c>
      <c r="J20">
        <f t="shared" si="5"/>
        <v>54095.823099083056</v>
      </c>
    </row>
    <row r="21" spans="1:10" x14ac:dyDescent="0.35">
      <c r="A21" s="111">
        <v>18</v>
      </c>
      <c r="B21" t="s">
        <v>144</v>
      </c>
      <c r="C21">
        <v>107045</v>
      </c>
      <c r="E21" t="str">
        <f t="shared" si="3"/>
        <v>2022 Qtr2</v>
      </c>
      <c r="F21">
        <f t="shared" si="4"/>
        <v>107045</v>
      </c>
      <c r="G21">
        <f t="shared" ref="G21:G29" si="6">$F$32*F21/I17+(1-$F$32)*(G20+H20)</f>
        <v>117225.34918402229</v>
      </c>
      <c r="H21">
        <f t="shared" ref="H21:H29" si="7">$G$32*(G21-G20)+(1-$G$32)*H20</f>
        <v>4927.2900957747261</v>
      </c>
      <c r="I21">
        <f t="shared" ref="I21:I29" si="8">$H$32*(F21/G21)+(1-$H$32)*I17</f>
        <v>0.91315566206450549</v>
      </c>
      <c r="J21">
        <f t="shared" si="5"/>
        <v>107044.97468494019</v>
      </c>
    </row>
    <row r="22" spans="1:10" x14ac:dyDescent="0.35">
      <c r="A22" s="111">
        <v>19</v>
      </c>
      <c r="B22" t="s">
        <v>145</v>
      </c>
      <c r="C22">
        <v>115175</v>
      </c>
      <c r="E22" t="str">
        <f t="shared" si="3"/>
        <v>2022 Qtr3</v>
      </c>
      <c r="F22">
        <f t="shared" si="4"/>
        <v>115175</v>
      </c>
      <c r="G22">
        <f t="shared" si="6"/>
        <v>114429.57741273561</v>
      </c>
      <c r="H22">
        <f t="shared" si="7"/>
        <v>4190.0908101180266</v>
      </c>
      <c r="I22">
        <f t="shared" si="8"/>
        <v>1.045691930387727</v>
      </c>
      <c r="J22">
        <f t="shared" si="5"/>
        <v>128287.41966896705</v>
      </c>
    </row>
    <row r="23" spans="1:10" x14ac:dyDescent="0.35">
      <c r="A23" s="111">
        <v>20</v>
      </c>
      <c r="B23" t="s">
        <v>146</v>
      </c>
      <c r="C23">
        <v>121668</v>
      </c>
      <c r="E23" t="str">
        <f t="shared" si="3"/>
        <v>2022 Qtr4</v>
      </c>
      <c r="F23">
        <f t="shared" si="4"/>
        <v>121668</v>
      </c>
      <c r="G23">
        <f t="shared" si="6"/>
        <v>118048.74527399363</v>
      </c>
      <c r="H23">
        <f t="shared" si="7"/>
        <v>4135.5937728924582</v>
      </c>
      <c r="I23">
        <f t="shared" si="8"/>
        <v>1.0334223265218649</v>
      </c>
      <c r="J23">
        <f t="shared" si="5"/>
        <v>122622.11718322223</v>
      </c>
    </row>
    <row r="24" spans="1:10" x14ac:dyDescent="0.35">
      <c r="A24" s="111">
        <v>21</v>
      </c>
      <c r="B24" s="27" t="s">
        <v>147</v>
      </c>
      <c r="C24" s="27">
        <v>114967</v>
      </c>
      <c r="E24" t="str">
        <f t="shared" si="3"/>
        <v>2023 Qtr1</v>
      </c>
      <c r="F24">
        <f t="shared" si="4"/>
        <v>114967</v>
      </c>
      <c r="G24">
        <f t="shared" si="6"/>
        <v>131897.50297917397</v>
      </c>
      <c r="H24">
        <f t="shared" si="7"/>
        <v>5062.7568120607057</v>
      </c>
      <c r="I24">
        <f t="shared" si="8"/>
        <v>0.83770140064755394</v>
      </c>
      <c r="J24">
        <f t="shared" si="5"/>
        <v>101874.49481647524</v>
      </c>
    </row>
    <row r="25" spans="1:10" x14ac:dyDescent="0.35">
      <c r="A25" s="111">
        <v>22</v>
      </c>
      <c r="B25" s="27" t="s">
        <v>148</v>
      </c>
      <c r="C25" s="27">
        <v>128202</v>
      </c>
      <c r="E25" t="str">
        <f t="shared" si="3"/>
        <v>2023 Qtr2</v>
      </c>
      <c r="F25">
        <f t="shared" si="4"/>
        <v>128202</v>
      </c>
      <c r="G25">
        <f t="shared" si="6"/>
        <v>139084.55095505848</v>
      </c>
      <c r="H25">
        <f t="shared" si="7"/>
        <v>5265.5294889412053</v>
      </c>
      <c r="I25">
        <f t="shared" si="8"/>
        <v>0.91404706975123284</v>
      </c>
      <c r="J25">
        <f t="shared" si="5"/>
        <v>125066.03670619157</v>
      </c>
    </row>
    <row r="26" spans="1:10" x14ac:dyDescent="0.35">
      <c r="A26" s="111">
        <v>23</v>
      </c>
      <c r="B26" t="s">
        <v>149</v>
      </c>
      <c r="C26">
        <v>138447</v>
      </c>
      <c r="E26" t="str">
        <f t="shared" si="3"/>
        <v>2023 Qtr3</v>
      </c>
      <c r="F26">
        <f t="shared" si="4"/>
        <v>138447</v>
      </c>
      <c r="G26">
        <f t="shared" si="6"/>
        <v>136956.59075365448</v>
      </c>
      <c r="H26">
        <f t="shared" si="7"/>
        <v>4559.7892770857552</v>
      </c>
      <c r="I26">
        <f t="shared" si="8"/>
        <v>1.0420839289653898</v>
      </c>
      <c r="J26">
        <f t="shared" si="5"/>
        <v>150945.71427110973</v>
      </c>
    </row>
    <row r="27" spans="1:10" x14ac:dyDescent="0.35">
      <c r="A27" s="111">
        <v>24</v>
      </c>
      <c r="B27" t="s">
        <v>150</v>
      </c>
      <c r="C27">
        <v>154073</v>
      </c>
      <c r="E27" t="str">
        <f t="shared" si="3"/>
        <v>2023 Qtr4</v>
      </c>
      <c r="F27">
        <f t="shared" si="4"/>
        <v>154073</v>
      </c>
      <c r="G27">
        <f t="shared" si="6"/>
        <v>146201.22283425921</v>
      </c>
      <c r="H27">
        <f t="shared" si="7"/>
        <v>5006.977559093164</v>
      </c>
      <c r="I27">
        <f t="shared" si="8"/>
        <v>1.0355388264908147</v>
      </c>
      <c r="J27">
        <f t="shared" si="5"/>
        <v>146246.18669231996</v>
      </c>
    </row>
    <row r="28" spans="1:10" x14ac:dyDescent="0.35">
      <c r="A28" s="112">
        <v>25</v>
      </c>
      <c r="B28" s="28" t="s">
        <v>151</v>
      </c>
      <c r="C28" s="28">
        <v>141367</v>
      </c>
      <c r="E28" t="str">
        <f t="shared" si="3"/>
        <v>2024 Qtr1</v>
      </c>
      <c r="F28">
        <f t="shared" si="4"/>
        <v>141367</v>
      </c>
      <c r="G28">
        <f t="shared" si="6"/>
        <v>162062.61709414373</v>
      </c>
      <c r="H28">
        <f t="shared" si="7"/>
        <v>6043.0780559920995</v>
      </c>
      <c r="I28">
        <f t="shared" si="8"/>
        <v>0.84128739244892536</v>
      </c>
      <c r="J28">
        <f t="shared" si="5"/>
        <v>126667.32125890729</v>
      </c>
    </row>
    <row r="31" spans="1:10" x14ac:dyDescent="0.35">
      <c r="F31" s="22" t="s">
        <v>28</v>
      </c>
      <c r="G31" s="22" t="s">
        <v>51</v>
      </c>
      <c r="H31" s="22" t="s">
        <v>52</v>
      </c>
    </row>
    <row r="32" spans="1:10" x14ac:dyDescent="0.35">
      <c r="F32" s="30">
        <v>0.61856862545209679</v>
      </c>
      <c r="G32" s="31">
        <v>9.5454276858875114E-2</v>
      </c>
      <c r="H32" s="32">
        <v>0.10364966047461774</v>
      </c>
    </row>
    <row r="34" spans="8:12" x14ac:dyDescent="0.35">
      <c r="I34" s="22" t="s">
        <v>36</v>
      </c>
      <c r="J34" s="22" t="s">
        <v>37</v>
      </c>
      <c r="K34" s="22" t="s">
        <v>38</v>
      </c>
      <c r="L34" s="22" t="s">
        <v>56</v>
      </c>
    </row>
    <row r="35" spans="8:12" x14ac:dyDescent="0.35">
      <c r="H35" t="s">
        <v>120</v>
      </c>
      <c r="I35" s="43" cm="1">
        <f t="array" ref="I35">SUMPRODUCT(ABS($F$19:$F$24-$J$19:$J$24))/COUNT($J$19:$J$24)</f>
        <v>14539.047564204979</v>
      </c>
      <c r="J35" s="114">
        <f>(SUMXMY2($F$19:$F$24,$J$19:$J$24)/COUNT($J$19:$J$24))^0.5</f>
        <v>25668.678906512549</v>
      </c>
      <c r="K35" s="45" cm="1">
        <f t="array" ref="K35">SUMPRODUCT(ABS(1-$J$19:$J$24/$F$19:$F$24))/COUNT($J$19:$J$24)</f>
        <v>0.12695951889048313</v>
      </c>
      <c r="L35" s="19" cm="1">
        <f t="array" ref="L35">SUM($J$19:$J$24-$F$19:$F$24)</f>
        <v>-59101.211680851316</v>
      </c>
    </row>
    <row r="36" spans="8:12" x14ac:dyDescent="0.35">
      <c r="H36" t="s">
        <v>119</v>
      </c>
      <c r="I36" s="43" cm="1">
        <f t="array" ref="I36">SUMPRODUCT(ABS($F$25:$F$28-$J$25:$J$28))/COUNT($J$25:$J$28)</f>
        <v>9540.2924034227253</v>
      </c>
      <c r="J36" s="114">
        <f>(SUMXMY2($F$25:$F$28,$J$25:$J$28)/COUNT($J$25:$J$28))^0.5</f>
        <v>10528.433951157765</v>
      </c>
      <c r="K36" s="45" cm="1">
        <f t="array" ref="K36">SUMPRODUCT(ABS(1-$J$25:$J$28/$F$25:$F$28))/COUNT($J$25:$J$28)</f>
        <v>6.7380214002820321E-2</v>
      </c>
      <c r="L36" s="19" cm="1">
        <f t="array" ref="L36">SUM($J$25:$J$28-$F$25:$F$28)</f>
        <v>-13163.74107147145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6055-945E-4919-8B82-5D7387645EEC}">
  <dimension ref="A1:L32"/>
  <sheetViews>
    <sheetView topLeftCell="A15" workbookViewId="0">
      <selection activeCell="F27" sqref="F27"/>
    </sheetView>
  </sheetViews>
  <sheetFormatPr defaultRowHeight="14.5" x14ac:dyDescent="0.35"/>
  <cols>
    <col min="1" max="3" width="8.7265625" style="38"/>
    <col min="4" max="4" width="8.7265625" style="115"/>
    <col min="5" max="5" width="0" style="115" hidden="1" customWidth="1"/>
    <col min="11" max="11" width="10.81640625" bestFit="1" customWidth="1"/>
  </cols>
  <sheetData>
    <row r="1" spans="1:10" x14ac:dyDescent="0.35">
      <c r="C1" s="38" t="s">
        <v>4</v>
      </c>
      <c r="D1" s="115" t="s">
        <v>11</v>
      </c>
      <c r="F1" t="s">
        <v>152</v>
      </c>
      <c r="G1" t="s">
        <v>153</v>
      </c>
      <c r="H1" t="s">
        <v>121</v>
      </c>
      <c r="I1">
        <v>1</v>
      </c>
      <c r="J1" s="51">
        <f ca="1">I30</f>
        <v>7112.5</v>
      </c>
    </row>
    <row r="2" spans="1:10" x14ac:dyDescent="0.35">
      <c r="A2" s="38">
        <v>0</v>
      </c>
      <c r="B2" s="38">
        <v>1</v>
      </c>
      <c r="C2" s="38">
        <v>101774</v>
      </c>
      <c r="D2" s="115">
        <f ca="1">IF(A2=0,C2,AVERAGE(INDIRECT("C"&amp;B2):INDIRECT("C"&amp;B2+1-$I$1)))</f>
        <v>101774</v>
      </c>
      <c r="F2">
        <f>C2</f>
        <v>101774</v>
      </c>
      <c r="G2" t="b">
        <f ca="1">D2=F2</f>
        <v>1</v>
      </c>
    </row>
    <row r="3" spans="1:10" x14ac:dyDescent="0.35">
      <c r="A3" s="38">
        <f>IF(B3&lt;=$I$1,0,IF(B3=$I$1,1,A2+1))</f>
        <v>1</v>
      </c>
      <c r="B3" s="38">
        <f t="shared" ref="B3:B9" si="0">+B2+1</f>
        <v>2</v>
      </c>
      <c r="C3" s="38">
        <v>128585</v>
      </c>
      <c r="D3" s="115">
        <f ca="1">IF(A3=0,C3,AVERAGE(INDIRECT("C"&amp;B3):INDIRECT("C"&amp;B3+1-$I$1)))</f>
        <v>101774</v>
      </c>
      <c r="F3">
        <f>C2</f>
        <v>101774</v>
      </c>
      <c r="G3" t="b">
        <f ca="1">D3=F3</f>
        <v>1</v>
      </c>
    </row>
    <row r="4" spans="1:10" x14ac:dyDescent="0.35">
      <c r="A4" s="38">
        <f>IF(B4&lt;=$I$1,0,IF(B4=$I$1,1,A3+1))</f>
        <v>2</v>
      </c>
      <c r="B4" s="38">
        <f t="shared" si="0"/>
        <v>3</v>
      </c>
      <c r="C4" s="38">
        <v>142768</v>
      </c>
      <c r="D4" s="115">
        <f ca="1">IF(A4=0,C4,AVERAGE(INDIRECT("C"&amp;B4):INDIRECT("C"&amp;B4+1-$I$1)))</f>
        <v>128585</v>
      </c>
      <c r="F4">
        <f>AVERAGE(C3)</f>
        <v>128585</v>
      </c>
      <c r="G4" t="b">
        <f t="shared" ref="G3:G11" ca="1" si="1">D4=F4</f>
        <v>1</v>
      </c>
    </row>
    <row r="5" spans="1:10" x14ac:dyDescent="0.35">
      <c r="A5" s="38">
        <f>IF(B5&lt;=$I$1,0,IF(B5=$I$1,1,A4+1))</f>
        <v>3</v>
      </c>
      <c r="B5" s="38">
        <f t="shared" si="0"/>
        <v>4</v>
      </c>
      <c r="C5" s="38">
        <v>130946</v>
      </c>
      <c r="D5" s="115">
        <f ca="1">IF(A5=0,C5,AVERAGE(INDIRECT("C"&amp;B5):INDIRECT("C"&amp;B5+1-$I$1)))</f>
        <v>142768</v>
      </c>
      <c r="F5">
        <f t="shared" ref="F5:F27" si="2">AVERAGE(C4)</f>
        <v>142768</v>
      </c>
      <c r="G5" t="b">
        <f t="shared" ca="1" si="1"/>
        <v>1</v>
      </c>
    </row>
    <row r="6" spans="1:10" x14ac:dyDescent="0.35">
      <c r="A6" s="38">
        <f>IF(B6&lt;=$I$1,0,IF(B6=$I$1,1,A5+1))</f>
        <v>4</v>
      </c>
      <c r="B6" s="38">
        <f t="shared" si="0"/>
        <v>5</v>
      </c>
      <c r="C6" s="38">
        <v>159580</v>
      </c>
      <c r="D6" s="115">
        <f ca="1">IF(A6=0,C6,AVERAGE(INDIRECT("C"&amp;B6):INDIRECT("C"&amp;B6+1-$I$1)))</f>
        <v>130946</v>
      </c>
      <c r="F6">
        <f t="shared" si="2"/>
        <v>130946</v>
      </c>
      <c r="G6" t="b">
        <f t="shared" ca="1" si="1"/>
        <v>1</v>
      </c>
    </row>
    <row r="7" spans="1:10" x14ac:dyDescent="0.35">
      <c r="A7" s="38">
        <f>IF(B7&lt;=$I$1,0,IF(B7=$I$1,1,A6+1))</f>
        <v>5</v>
      </c>
      <c r="B7" s="38">
        <f t="shared" si="0"/>
        <v>6</v>
      </c>
      <c r="C7" s="38">
        <v>253362</v>
      </c>
      <c r="D7" s="115">
        <f ca="1">IF(A7=0,C7,AVERAGE(INDIRECT("C"&amp;B7):INDIRECT("C"&amp;B7+1-$I$1)))</f>
        <v>159580</v>
      </c>
      <c r="F7">
        <f t="shared" si="2"/>
        <v>159580</v>
      </c>
      <c r="G7" t="b">
        <f t="shared" ca="1" si="1"/>
        <v>1</v>
      </c>
    </row>
    <row r="8" spans="1:10" x14ac:dyDescent="0.35">
      <c r="A8" s="38">
        <f>IF(B8&lt;=$I$1,0,IF(B8=$I$1,1,A7+1))</f>
        <v>6</v>
      </c>
      <c r="B8" s="38">
        <f t="shared" si="0"/>
        <v>7</v>
      </c>
      <c r="C8" s="38">
        <v>341740</v>
      </c>
      <c r="D8" s="115">
        <f ca="1">IF(A8=0,C8,AVERAGE(INDIRECT("C"&amp;B8):INDIRECT("C"&amp;B8+1-$I$1)))</f>
        <v>253362</v>
      </c>
      <c r="F8">
        <f t="shared" si="2"/>
        <v>253362</v>
      </c>
      <c r="G8" t="b">
        <f t="shared" ca="1" si="1"/>
        <v>1</v>
      </c>
    </row>
    <row r="9" spans="1:10" x14ac:dyDescent="0.35">
      <c r="A9" s="38">
        <f>IF(B9&lt;=$I$1,0,IF(B9=$I$1,1,A8+1))</f>
        <v>7</v>
      </c>
      <c r="B9" s="38">
        <f t="shared" si="0"/>
        <v>8</v>
      </c>
      <c r="C9" s="38">
        <v>311858</v>
      </c>
      <c r="D9" s="115">
        <f ca="1">IF(A9=0,C9,AVERAGE(INDIRECT("C"&amp;B9):INDIRECT("C"&amp;B9+1-$I$1)))</f>
        <v>341740</v>
      </c>
      <c r="F9">
        <f t="shared" si="2"/>
        <v>341740</v>
      </c>
      <c r="G9" t="b">
        <f t="shared" ca="1" si="1"/>
        <v>1</v>
      </c>
    </row>
    <row r="10" spans="1:10" x14ac:dyDescent="0.35">
      <c r="A10" s="38">
        <f>IF(B10&lt;=$I$1,0,IF(B10=$I$1,1,A9+1))</f>
        <v>8</v>
      </c>
      <c r="B10" s="38">
        <f>+B9+1</f>
        <v>9</v>
      </c>
      <c r="C10" s="38">
        <v>250063</v>
      </c>
      <c r="D10" s="115">
        <f ca="1">IF(A10=0,C10,AVERAGE(INDIRECT("C"&amp;B10):INDIRECT("C"&amp;B10+1-$I$1)))</f>
        <v>311858</v>
      </c>
      <c r="F10">
        <f t="shared" si="2"/>
        <v>311858</v>
      </c>
      <c r="G10" t="b">
        <f t="shared" ca="1" si="1"/>
        <v>1</v>
      </c>
    </row>
    <row r="11" spans="1:10" x14ac:dyDescent="0.35">
      <c r="A11" s="38">
        <f>IF(B11&lt;=$I$1,0,IF(B11=$I$1,1,A10+1))</f>
        <v>9</v>
      </c>
      <c r="B11" s="38">
        <f t="shared" ref="B11:B32" si="3">+B10+1</f>
        <v>10</v>
      </c>
      <c r="C11" s="38">
        <v>91600</v>
      </c>
      <c r="D11" s="115">
        <f ca="1">IF(A11=0,C11,AVERAGE(INDIRECT("C"&amp;B11):INDIRECT("C"&amp;B11+1-$I$1)))</f>
        <v>250063</v>
      </c>
      <c r="F11">
        <f t="shared" si="2"/>
        <v>250063</v>
      </c>
      <c r="G11" t="b">
        <f t="shared" ca="1" si="1"/>
        <v>1</v>
      </c>
    </row>
    <row r="12" spans="1:10" x14ac:dyDescent="0.35">
      <c r="A12" s="38">
        <f>IF(B12&lt;=$I$1,0,IF(B12=$I$1,1,A11+1))</f>
        <v>10</v>
      </c>
      <c r="B12" s="38">
        <f t="shared" si="3"/>
        <v>11</v>
      </c>
      <c r="C12" s="38">
        <v>169303</v>
      </c>
      <c r="D12" s="115">
        <f ca="1">IF(A12=0,C12,AVERAGE(INDIRECT("C"&amp;B12):INDIRECT("C"&amp;B12+1-$I$1)))</f>
        <v>91600</v>
      </c>
      <c r="F12">
        <f t="shared" si="2"/>
        <v>91600</v>
      </c>
    </row>
    <row r="13" spans="1:10" x14ac:dyDescent="0.35">
      <c r="A13" s="38">
        <f>IF(B13&lt;=$I$1,0,IF(B13=$I$1,1,A12+1))</f>
        <v>11</v>
      </c>
      <c r="B13" s="38">
        <f t="shared" si="3"/>
        <v>12</v>
      </c>
      <c r="C13" s="38">
        <v>190752</v>
      </c>
      <c r="D13" s="115">
        <f ca="1">IF(A13=0,C13,AVERAGE(INDIRECT("C"&amp;B13):INDIRECT("C"&amp;B13+1-$I$1)))</f>
        <v>169303</v>
      </c>
      <c r="F13">
        <f t="shared" si="2"/>
        <v>169303</v>
      </c>
    </row>
    <row r="14" spans="1:10" x14ac:dyDescent="0.35">
      <c r="A14" s="38">
        <f>IF(B14&lt;=$I$1,0,IF(B14=$I$1,1,A13+1))</f>
        <v>12</v>
      </c>
      <c r="B14" s="38">
        <f t="shared" si="3"/>
        <v>13</v>
      </c>
      <c r="C14" s="38">
        <v>180074</v>
      </c>
      <c r="D14" s="115">
        <f ca="1">IF(A14=0,C14,AVERAGE(INDIRECT("C"&amp;B14):INDIRECT("C"&amp;B14+1-$I$1)))</f>
        <v>190752</v>
      </c>
      <c r="F14">
        <f t="shared" si="2"/>
        <v>190752</v>
      </c>
    </row>
    <row r="15" spans="1:10" x14ac:dyDescent="0.35">
      <c r="A15" s="38">
        <f>IF(B15&lt;=$I$1,0,IF(B15=$I$1,1,A14+1))</f>
        <v>13</v>
      </c>
      <c r="B15" s="38">
        <f t="shared" si="3"/>
        <v>14</v>
      </c>
      <c r="C15" s="38">
        <v>53804</v>
      </c>
      <c r="D15" s="115">
        <f ca="1">IF(A15=0,C15,AVERAGE(INDIRECT("C"&amp;B15):INDIRECT("C"&amp;B15+1-$I$1)))</f>
        <v>180074</v>
      </c>
      <c r="F15">
        <f t="shared" si="2"/>
        <v>180074</v>
      </c>
    </row>
    <row r="16" spans="1:10" x14ac:dyDescent="0.35">
      <c r="A16" s="38">
        <f>IF(B16&lt;=$I$1,0,IF(B16=$I$1,1,A15+1))</f>
        <v>14</v>
      </c>
      <c r="B16" s="38">
        <f t="shared" si="3"/>
        <v>15</v>
      </c>
      <c r="C16" s="38">
        <v>29102</v>
      </c>
      <c r="D16" s="115">
        <f ca="1">IF(A16=0,C16,AVERAGE(INDIRECT("C"&amp;B16):INDIRECT("C"&amp;B16+1-$I$1)))</f>
        <v>53804</v>
      </c>
      <c r="F16">
        <f t="shared" si="2"/>
        <v>53804</v>
      </c>
    </row>
    <row r="17" spans="1:12" x14ac:dyDescent="0.35">
      <c r="A17" s="38">
        <f>IF(B17&lt;=$I$1,0,IF(B17=$I$1,1,A16+1))</f>
        <v>15</v>
      </c>
      <c r="B17" s="38">
        <f t="shared" si="3"/>
        <v>16</v>
      </c>
      <c r="C17" s="38">
        <v>68234</v>
      </c>
      <c r="D17" s="115">
        <f ca="1">IF(A17=0,C17,AVERAGE(INDIRECT("C"&amp;B17):INDIRECT("C"&amp;B17+1-$I$1)))</f>
        <v>29102</v>
      </c>
      <c r="F17">
        <f t="shared" si="2"/>
        <v>29102</v>
      </c>
    </row>
    <row r="18" spans="1:12" x14ac:dyDescent="0.35">
      <c r="A18" s="38">
        <f>IF(B18&lt;=$I$1,0,IF(B18=$I$1,1,A17+1))</f>
        <v>16</v>
      </c>
      <c r="B18" s="38">
        <f t="shared" si="3"/>
        <v>17</v>
      </c>
      <c r="C18" s="38">
        <v>114171</v>
      </c>
      <c r="D18" s="115">
        <f ca="1">IF(A18=0,C18,AVERAGE(INDIRECT("C"&amp;B18):INDIRECT("C"&amp;B18+1-$I$1)))</f>
        <v>68234</v>
      </c>
      <c r="F18">
        <f t="shared" si="2"/>
        <v>68234</v>
      </c>
    </row>
    <row r="19" spans="1:12" x14ac:dyDescent="0.35">
      <c r="A19" s="38">
        <f>IF(B19&lt;=$I$1,0,IF(B19=$I$1,1,A18+1))</f>
        <v>17</v>
      </c>
      <c r="B19" s="38">
        <f t="shared" si="3"/>
        <v>18</v>
      </c>
      <c r="C19" s="38">
        <v>107045</v>
      </c>
      <c r="D19" s="115">
        <f ca="1">IF(A19=0,C19,AVERAGE(INDIRECT("C"&amp;B19):INDIRECT("C"&amp;B19+1-$I$1)))</f>
        <v>114171</v>
      </c>
      <c r="F19">
        <f t="shared" si="2"/>
        <v>114171</v>
      </c>
    </row>
    <row r="20" spans="1:12" x14ac:dyDescent="0.35">
      <c r="A20" s="38">
        <f>IF(B20&lt;=$I$1,0,IF(B20=$I$1,1,A19+1))</f>
        <v>18</v>
      </c>
      <c r="B20" s="38">
        <f t="shared" si="3"/>
        <v>19</v>
      </c>
      <c r="C20" s="38">
        <v>115175</v>
      </c>
      <c r="D20" s="115">
        <f ca="1">IF(A20=0,C20,AVERAGE(INDIRECT("C"&amp;B20):INDIRECT("C"&amp;B20+1-$I$1)))</f>
        <v>107045</v>
      </c>
      <c r="F20">
        <f t="shared" si="2"/>
        <v>107045</v>
      </c>
    </row>
    <row r="21" spans="1:12" x14ac:dyDescent="0.35">
      <c r="A21" s="38">
        <f>IF(B21&lt;=$I$1,0,IF(B21=$I$1,1,A20+1))</f>
        <v>19</v>
      </c>
      <c r="B21" s="38">
        <f t="shared" si="3"/>
        <v>20</v>
      </c>
      <c r="C21" s="38">
        <v>121668</v>
      </c>
      <c r="D21" s="115">
        <f ca="1">IF(A21=0,C21,AVERAGE(INDIRECT("C"&amp;B21):INDIRECT("C"&amp;B21+1-$I$1)))</f>
        <v>115175</v>
      </c>
      <c r="F21">
        <f t="shared" si="2"/>
        <v>115175</v>
      </c>
    </row>
    <row r="22" spans="1:12" x14ac:dyDescent="0.35">
      <c r="A22" s="38">
        <f>IF(B22&lt;=$I$1,0,IF(B22=$I$1,1,A21+1))</f>
        <v>20</v>
      </c>
      <c r="B22" s="38">
        <f t="shared" si="3"/>
        <v>21</v>
      </c>
      <c r="C22" s="38">
        <v>114967</v>
      </c>
      <c r="D22" s="115">
        <f ca="1">IF(A22=0,C22,AVERAGE(INDIRECT("C"&amp;B22):INDIRECT("C"&amp;B22+1-$I$1)))</f>
        <v>121668</v>
      </c>
      <c r="F22">
        <f t="shared" si="2"/>
        <v>121668</v>
      </c>
    </row>
    <row r="23" spans="1:12" x14ac:dyDescent="0.35">
      <c r="A23" s="38">
        <f>IF(B23&lt;=$I$1,0,IF(B23=$I$1,1,A22+1))</f>
        <v>21</v>
      </c>
      <c r="B23" s="38">
        <f t="shared" si="3"/>
        <v>22</v>
      </c>
      <c r="C23" s="38">
        <v>128202</v>
      </c>
      <c r="D23" s="115">
        <f ca="1">IF(A23=0,C23,AVERAGE(INDIRECT("C"&amp;B23):INDIRECT("C"&amp;B23+1-$I$1)))</f>
        <v>114967</v>
      </c>
      <c r="F23">
        <f t="shared" si="2"/>
        <v>114967</v>
      </c>
    </row>
    <row r="24" spans="1:12" x14ac:dyDescent="0.35">
      <c r="A24" s="38">
        <f>IF(B24&lt;=$I$1,0,IF(B24=$I$1,1,A23+1))</f>
        <v>22</v>
      </c>
      <c r="B24" s="38">
        <f t="shared" si="3"/>
        <v>23</v>
      </c>
      <c r="C24" s="38">
        <v>138447</v>
      </c>
      <c r="D24" s="115">
        <f ca="1">IF(A24=0,C24,AVERAGE(INDIRECT("C"&amp;B24):INDIRECT("C"&amp;B24+1-$I$1)))</f>
        <v>128202</v>
      </c>
      <c r="F24">
        <f t="shared" si="2"/>
        <v>128202</v>
      </c>
    </row>
    <row r="25" spans="1:12" x14ac:dyDescent="0.35">
      <c r="A25" s="38">
        <f>IF(B25&lt;=$I$1,0,IF(B25=$I$1,1,A24+1))</f>
        <v>23</v>
      </c>
      <c r="B25" s="38">
        <f t="shared" si="3"/>
        <v>24</v>
      </c>
      <c r="C25" s="38">
        <v>154073</v>
      </c>
      <c r="D25" s="115">
        <f ca="1">IF(A25=0,C25,AVERAGE(INDIRECT("C"&amp;B25):INDIRECT("C"&amp;B25+1-$I$1)))</f>
        <v>138447</v>
      </c>
      <c r="F25">
        <f t="shared" si="2"/>
        <v>138447</v>
      </c>
    </row>
    <row r="26" spans="1:12" x14ac:dyDescent="0.35">
      <c r="A26" s="38">
        <f>IF(B26&lt;=$I$1,0,IF(B26=$I$1,1,A25+1))</f>
        <v>24</v>
      </c>
      <c r="B26" s="38">
        <f t="shared" si="3"/>
        <v>25</v>
      </c>
      <c r="C26" s="38">
        <v>141367</v>
      </c>
      <c r="D26" s="115">
        <f ca="1">IF(A26=0,C26,AVERAGE(INDIRECT("C"&amp;B26):INDIRECT("C"&amp;B26+1-$I$1)))</f>
        <v>154073</v>
      </c>
      <c r="F26">
        <f t="shared" si="2"/>
        <v>154073</v>
      </c>
    </row>
    <row r="27" spans="1:12" x14ac:dyDescent="0.35">
      <c r="A27" s="38">
        <f>IF(B27&lt;=$I$1,0,IF(B27=$I$1,1,A26+1))</f>
        <v>25</v>
      </c>
      <c r="B27" s="38">
        <f t="shared" si="3"/>
        <v>26</v>
      </c>
      <c r="D27" s="115">
        <f ca="1">IF(A27=0,C27,AVERAGE(INDIRECT("C"&amp;B27):INDIRECT("C"&amp;B27+1-$I$1)))</f>
        <v>141367</v>
      </c>
      <c r="F27">
        <f t="shared" si="2"/>
        <v>141367</v>
      </c>
    </row>
    <row r="28" spans="1:12" x14ac:dyDescent="0.35">
      <c r="A28" s="38">
        <f>IF(B28&lt;=$I$1,0,IF(B28=$I$1,1,A27+1))</f>
        <v>26</v>
      </c>
      <c r="B28" s="38">
        <f t="shared" si="3"/>
        <v>27</v>
      </c>
    </row>
    <row r="29" spans="1:12" x14ac:dyDescent="0.35">
      <c r="A29" s="38">
        <f>IF(B29&lt;=$I$1,0,IF(B29=$I$1,1,A28+1))</f>
        <v>27</v>
      </c>
      <c r="B29" s="38">
        <f t="shared" si="3"/>
        <v>28</v>
      </c>
      <c r="I29" s="22" t="s">
        <v>36</v>
      </c>
      <c r="J29" s="22" t="s">
        <v>40</v>
      </c>
      <c r="K29" s="22" t="s">
        <v>38</v>
      </c>
      <c r="L29" s="22" t="s">
        <v>56</v>
      </c>
    </row>
    <row r="30" spans="1:12" x14ac:dyDescent="0.35">
      <c r="A30" s="38">
        <f>IF(B30&lt;=$I$1,0,IF(B30=$I$1,1,A29+1))</f>
        <v>28</v>
      </c>
      <c r="B30" s="38">
        <f t="shared" si="3"/>
        <v>29</v>
      </c>
      <c r="H30" t="s">
        <v>120</v>
      </c>
      <c r="I30" s="19" cm="1">
        <f t="array" aca="1" ref="I30" ca="1">SUMPRODUCT(ABS($C$19:$C$22-$D$19:$D$22))/COUNT($D$19:$D$22)</f>
        <v>7112.5</v>
      </c>
      <c r="J30" s="19">
        <f ca="1">(SUMXMY2($C$19:$C$22,$D$19:$D$22)/COUNT($D$19:$D$22))^0.5</f>
        <v>7140.3645915317238</v>
      </c>
      <c r="K30" s="23" cm="1">
        <f t="array" aca="1" ref="K30" ca="1">SUMPRODUCT(ABS(1-$D$19:$D$22/$C$19:$C$22))/COUNT($D$19:$D$22)</f>
        <v>6.2202799661865149E-2</v>
      </c>
      <c r="L30" s="5" cm="1">
        <f t="array" aca="1" ref="L30" ca="1">SUM($D$19:$D$22-$C$19:$C$22)</f>
        <v>-796</v>
      </c>
    </row>
    <row r="31" spans="1:12" x14ac:dyDescent="0.35">
      <c r="A31" s="38">
        <f>IF(B31&lt;=$I$1,0,IF(B31=$I$1,1,A30+1))</f>
        <v>29</v>
      </c>
      <c r="B31" s="38">
        <f t="shared" si="3"/>
        <v>30</v>
      </c>
      <c r="H31" t="s">
        <v>119</v>
      </c>
      <c r="I31" s="19" cm="1">
        <f t="array" aca="1" ref="I31" ca="1">SUMPRODUCT(ABS($C$23:$C$26-$D$23:$D$26))/COUNT($D$23:$D$26)</f>
        <v>12953</v>
      </c>
      <c r="J31" s="19">
        <f ca="1">(SUMXMY2($C$23:$C$26,$D$23:$D$26)/COUNT($D$23:$D$26))^0.5</f>
        <v>13093.314725461998</v>
      </c>
      <c r="K31" s="23" cm="1">
        <f t="array" aca="1" ref="K31" ca="1">SUMPRODUCT(ABS(1-$D$23:$D$26/$C$23:$C$26))/COUNT($D$23:$D$26)</f>
        <v>9.2133486494460459E-2</v>
      </c>
      <c r="L31" s="5" cm="1">
        <f t="array" aca="1" ref="L31" ca="1">SUM($D$23:$D$26-$C$23:$C$26)</f>
        <v>-26400</v>
      </c>
    </row>
    <row r="32" spans="1:12" x14ac:dyDescent="0.35">
      <c r="A32" s="38">
        <f>IF(B32&lt;=$I$1,0,IF(B32=$I$1,1,A31+1))</f>
        <v>30</v>
      </c>
      <c r="B32" s="38">
        <f t="shared" si="3"/>
        <v>31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A468-7DF8-44EF-B277-FE4BB7B44345}">
  <dimension ref="B2:I7"/>
  <sheetViews>
    <sheetView workbookViewId="0">
      <selection activeCell="G10" sqref="G10"/>
    </sheetView>
  </sheetViews>
  <sheetFormatPr defaultRowHeight="14.5" x14ac:dyDescent="0.35"/>
  <cols>
    <col min="2" max="2" width="18.90625" bestFit="1" customWidth="1"/>
    <col min="9" max="9" width="16.7265625" bestFit="1" customWidth="1"/>
  </cols>
  <sheetData>
    <row r="2" spans="2:9" x14ac:dyDescent="0.35">
      <c r="B2" t="s">
        <v>119</v>
      </c>
      <c r="C2" s="22" t="s">
        <v>36</v>
      </c>
      <c r="D2" s="22" t="s">
        <v>40</v>
      </c>
      <c r="E2" s="22" t="s">
        <v>38</v>
      </c>
      <c r="F2" s="22" t="s">
        <v>56</v>
      </c>
      <c r="H2" s="22" t="s">
        <v>158</v>
      </c>
      <c r="I2" s="22" t="s">
        <v>159</v>
      </c>
    </row>
    <row r="3" spans="2:9" x14ac:dyDescent="0.35">
      <c r="B3" t="s">
        <v>39</v>
      </c>
      <c r="C3" s="51">
        <f>SES_Q_0.7!$I$31</f>
        <v>13132.313036822638</v>
      </c>
      <c r="D3" s="51">
        <f>SES_Q_0.7!$J$31</f>
        <v>13930.532165479668</v>
      </c>
      <c r="E3" s="23">
        <f>SES_Q_0.7!$K$31</f>
        <v>9.2723642037769671E-2</v>
      </c>
      <c r="F3" s="51">
        <f>SES_Q_0.7!$L$31</f>
        <v>-38990.20564395508</v>
      </c>
      <c r="H3">
        <f ca="1">RANK(C3,$C$3:$C$7,1)</f>
        <v>5</v>
      </c>
      <c r="I3">
        <f ca="1">RANK(F3,$F$3:$F$7,0)</f>
        <v>5</v>
      </c>
    </row>
    <row r="4" spans="2:9" x14ac:dyDescent="0.35">
      <c r="B4" t="s">
        <v>154</v>
      </c>
      <c r="C4" s="51">
        <f>SES_Q_Opt!$I$31</f>
        <v>13005.778669749914</v>
      </c>
      <c r="D4" s="51">
        <f>SES_Q_Opt!$J$31</f>
        <v>13266.560204220772</v>
      </c>
      <c r="E4" s="23">
        <f>SES_Q_Opt!$K$31</f>
        <v>9.2181932399520577E-2</v>
      </c>
      <c r="F4" s="51">
        <f>SES_Q_Opt!$L$31</f>
        <v>-31487.945465420853</v>
      </c>
      <c r="H4">
        <f ca="1">RANK(C4,$C$3:$C$7,1)</f>
        <v>4</v>
      </c>
      <c r="I4">
        <f t="shared" ref="I4:I7" ca="1" si="0">RANK(F4,$F$3:$F$7,0)</f>
        <v>4</v>
      </c>
    </row>
    <row r="5" spans="2:9" x14ac:dyDescent="0.35">
      <c r="B5" t="s">
        <v>155</v>
      </c>
      <c r="C5" s="51">
        <f>HWES_A_Q!$I$36</f>
        <v>10292.053624098964</v>
      </c>
      <c r="D5" s="51">
        <f>HWES_A_Q!$J$36</f>
        <v>12267.897998878883</v>
      </c>
      <c r="E5" s="23">
        <f>HWES_A_Q!$K$36</f>
        <v>7.2152277353017519E-2</v>
      </c>
      <c r="F5" s="19">
        <f>HWES_A_Q!$L$36</f>
        <v>-2844.6494401322707</v>
      </c>
      <c r="H5">
        <f ca="1">RANK(C5,$C$3:$C$7,1)</f>
        <v>2</v>
      </c>
      <c r="I5">
        <f t="shared" ca="1" si="0"/>
        <v>1</v>
      </c>
    </row>
    <row r="6" spans="2:9" x14ac:dyDescent="0.35">
      <c r="B6" t="s">
        <v>156</v>
      </c>
      <c r="C6" s="51">
        <f>HWES_M_Q!$I$36</f>
        <v>9540.2924034227253</v>
      </c>
      <c r="D6" s="51">
        <f>HWES_M_Q!$J$36</f>
        <v>10528.433951157765</v>
      </c>
      <c r="E6" s="23">
        <f>HWES_M_Q!$K$36</f>
        <v>6.7380214002820321E-2</v>
      </c>
      <c r="F6" s="19">
        <f>HWES_M_Q!$L$36</f>
        <v>-13163.74107147145</v>
      </c>
      <c r="H6">
        <f ca="1">RANK(C6,$C$3:$C$7,1)</f>
        <v>1</v>
      </c>
      <c r="I6">
        <f t="shared" ca="1" si="0"/>
        <v>2</v>
      </c>
    </row>
    <row r="7" spans="2:9" x14ac:dyDescent="0.35">
      <c r="B7" t="s">
        <v>157</v>
      </c>
      <c r="C7" s="51">
        <f ca="1">MA!I31</f>
        <v>12953</v>
      </c>
      <c r="D7" s="51">
        <f ca="1">MA!J31</f>
        <v>13093.314725461998</v>
      </c>
      <c r="E7" s="23">
        <f ca="1">MA!K31</f>
        <v>9.2133486494460459E-2</v>
      </c>
      <c r="F7" s="51">
        <f ca="1">MA!L31</f>
        <v>-26400</v>
      </c>
      <c r="H7">
        <f ca="1">RANK(C7,$C$3:$C$7,1)</f>
        <v>3</v>
      </c>
      <c r="I7">
        <f t="shared" ca="1" si="0"/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7DF7-7042-49FB-B368-59A6C008C479}">
  <dimension ref="A1:M37"/>
  <sheetViews>
    <sheetView topLeftCell="G1" zoomScaleNormal="100" workbookViewId="0">
      <selection activeCell="A4" sqref="A4:C28"/>
    </sheetView>
  </sheetViews>
  <sheetFormatPr defaultRowHeight="14.5" x14ac:dyDescent="0.35"/>
  <cols>
    <col min="1" max="1" width="5.6328125" customWidth="1"/>
    <col min="2" max="2" width="9" bestFit="1" customWidth="1"/>
    <col min="3" max="3" width="6.81640625" bestFit="1" customWidth="1"/>
    <col min="5" max="5" width="18.08984375" bestFit="1" customWidth="1"/>
  </cols>
  <sheetData>
    <row r="1" spans="1:13" x14ac:dyDescent="0.35">
      <c r="A1" s="24" t="s">
        <v>122</v>
      </c>
    </row>
    <row r="3" spans="1:13" x14ac:dyDescent="0.35">
      <c r="A3" s="25" t="s">
        <v>44</v>
      </c>
      <c r="B3" s="25" t="s">
        <v>45</v>
      </c>
      <c r="C3" s="25" t="s">
        <v>46</v>
      </c>
      <c r="E3" t="s">
        <v>43</v>
      </c>
      <c r="J3" t="s">
        <v>123</v>
      </c>
      <c r="K3" s="108">
        <v>0.05</v>
      </c>
    </row>
    <row r="4" spans="1:13" ht="15" thickBot="1" x14ac:dyDescent="0.4">
      <c r="A4" s="27">
        <v>1</v>
      </c>
      <c r="B4" s="27" t="s">
        <v>127</v>
      </c>
      <c r="C4" s="27">
        <v>101774</v>
      </c>
    </row>
    <row r="5" spans="1:13" ht="15" thickTop="1" x14ac:dyDescent="0.35">
      <c r="A5" s="27">
        <f t="shared" ref="A5:A28" si="0">A4+1</f>
        <v>2</v>
      </c>
      <c r="B5" s="27" t="s">
        <v>128</v>
      </c>
      <c r="C5" s="27">
        <v>128585</v>
      </c>
      <c r="E5" s="26" t="str">
        <f t="shared" ref="E5:F22" si="1">B3</f>
        <v>qtr</v>
      </c>
      <c r="F5" s="26" t="str">
        <f t="shared" si="1"/>
        <v>y</v>
      </c>
      <c r="G5" s="26" t="s">
        <v>47</v>
      </c>
      <c r="H5" s="26" t="s">
        <v>48</v>
      </c>
      <c r="I5" s="26" t="s">
        <v>49</v>
      </c>
      <c r="J5" s="26" t="s">
        <v>50</v>
      </c>
      <c r="K5" s="26" t="s">
        <v>124</v>
      </c>
      <c r="L5" s="26" t="s">
        <v>125</v>
      </c>
      <c r="M5" s="26" t="s">
        <v>126</v>
      </c>
    </row>
    <row r="6" spans="1:13" x14ac:dyDescent="0.35">
      <c r="A6" s="27">
        <f t="shared" si="0"/>
        <v>3</v>
      </c>
      <c r="B6" s="27" t="s">
        <v>129</v>
      </c>
      <c r="C6" s="27">
        <v>142768</v>
      </c>
      <c r="E6" t="str">
        <f t="shared" si="1"/>
        <v>2018 Qtr1</v>
      </c>
      <c r="F6">
        <f t="shared" si="1"/>
        <v>101774</v>
      </c>
      <c r="I6">
        <f>F6-AVERAGE($F$6:$F$9)</f>
        <v>-24244.25</v>
      </c>
    </row>
    <row r="7" spans="1:13" x14ac:dyDescent="0.35">
      <c r="A7" s="27">
        <f t="shared" si="0"/>
        <v>4</v>
      </c>
      <c r="B7" s="27" t="s">
        <v>130</v>
      </c>
      <c r="C7" s="27">
        <v>130946</v>
      </c>
      <c r="E7" t="str">
        <f t="shared" si="1"/>
        <v>2018 Qtr2</v>
      </c>
      <c r="F7">
        <f t="shared" si="1"/>
        <v>128585</v>
      </c>
      <c r="I7">
        <f>F7-AVERAGE($F$6:$F$9)</f>
        <v>2566.75</v>
      </c>
    </row>
    <row r="8" spans="1:13" x14ac:dyDescent="0.35">
      <c r="A8" s="27">
        <f t="shared" si="0"/>
        <v>5</v>
      </c>
      <c r="B8" s="27" t="s">
        <v>131</v>
      </c>
      <c r="C8" s="27">
        <v>159580</v>
      </c>
      <c r="E8" t="str">
        <f t="shared" si="1"/>
        <v>2018 Qtr3</v>
      </c>
      <c r="F8">
        <f t="shared" si="1"/>
        <v>142768</v>
      </c>
      <c r="I8">
        <f>F8-AVERAGE($F$6:$F$9)</f>
        <v>16749.75</v>
      </c>
    </row>
    <row r="9" spans="1:13" x14ac:dyDescent="0.35">
      <c r="A9" s="27">
        <f t="shared" si="0"/>
        <v>6</v>
      </c>
      <c r="B9" s="27" t="s">
        <v>132</v>
      </c>
      <c r="C9" s="27">
        <v>253362</v>
      </c>
      <c r="E9" t="str">
        <f t="shared" si="1"/>
        <v>2018 Qtr4</v>
      </c>
      <c r="F9">
        <f t="shared" si="1"/>
        <v>130946</v>
      </c>
      <c r="G9">
        <f>F9-I9</f>
        <v>126018.25</v>
      </c>
      <c r="H9">
        <f>(AVERAGE(F10:F13)-AVERAGE(F6:F9))/4</f>
        <v>35154.1875</v>
      </c>
      <c r="I9">
        <f>F9-AVERAGE($F$6:$F$9)</f>
        <v>4927.75</v>
      </c>
    </row>
    <row r="10" spans="1:13" x14ac:dyDescent="0.35">
      <c r="A10" s="27">
        <f t="shared" si="0"/>
        <v>7</v>
      </c>
      <c r="B10" s="27" t="s">
        <v>133</v>
      </c>
      <c r="C10" s="27">
        <v>341740</v>
      </c>
      <c r="E10" t="str">
        <f t="shared" si="1"/>
        <v>2019 Qtr1</v>
      </c>
      <c r="F10">
        <f t="shared" si="1"/>
        <v>159580</v>
      </c>
      <c r="G10">
        <f t="shared" ref="G10:G21" si="2">$F$37*(F10-I6)+(1-$F$37)*(G9+H9)</f>
        <v>161524.26928665442</v>
      </c>
      <c r="H10">
        <f t="shared" ref="H10:H21" si="3">$G$37*(G10-G9)+(1-$G$37)*H9</f>
        <v>35506.019286654424</v>
      </c>
      <c r="I10">
        <f t="shared" ref="I10:I21" si="4">$H$37*(F10-G10)+(1-$H$37)*I6</f>
        <v>-19095.578226698013</v>
      </c>
      <c r="J10">
        <f t="shared" ref="J10:J21" si="5">G9+H9+I6</f>
        <v>136928.1875</v>
      </c>
    </row>
    <row r="11" spans="1:13" x14ac:dyDescent="0.35">
      <c r="A11" s="27">
        <f t="shared" si="0"/>
        <v>8</v>
      </c>
      <c r="B11" s="27" t="s">
        <v>134</v>
      </c>
      <c r="C11" s="27">
        <v>311858</v>
      </c>
      <c r="E11" t="str">
        <f t="shared" si="1"/>
        <v>2019 Qtr2</v>
      </c>
      <c r="F11">
        <f t="shared" si="1"/>
        <v>253362</v>
      </c>
      <c r="G11">
        <f t="shared" si="2"/>
        <v>197865.37505648361</v>
      </c>
      <c r="H11">
        <f t="shared" si="3"/>
        <v>36341.105769829184</v>
      </c>
      <c r="I11">
        <f t="shared" si="4"/>
        <v>14787.323487895275</v>
      </c>
      <c r="J11">
        <f t="shared" si="5"/>
        <v>199597.03857330885</v>
      </c>
      <c r="K11">
        <f>SQRT(SUMXMY2(F$10:F10,J$10:J10)/COUNT(J$10:J10))</f>
        <v>22651.8125</v>
      </c>
      <c r="L11">
        <f t="shared" ref="L11:L27" si="6">J11-_xlfn.NORM.S.INV(1-K$3/2)*K11</f>
        <v>155200.30188875465</v>
      </c>
      <c r="M11">
        <f t="shared" ref="M11:M27" si="7">J11+_xlfn.NORM.S.INV(1-K$3/2)*K11</f>
        <v>243993.77525786305</v>
      </c>
    </row>
    <row r="12" spans="1:13" x14ac:dyDescent="0.35">
      <c r="A12" s="27">
        <f t="shared" si="0"/>
        <v>9</v>
      </c>
      <c r="B12" s="27" t="s">
        <v>135</v>
      </c>
      <c r="C12" s="27">
        <v>250063</v>
      </c>
      <c r="E12" t="str">
        <f t="shared" si="1"/>
        <v>2019 Qtr3</v>
      </c>
      <c r="F12">
        <f t="shared" si="1"/>
        <v>341740</v>
      </c>
      <c r="G12">
        <f t="shared" si="2"/>
        <v>235616.54969862051</v>
      </c>
      <c r="H12">
        <f t="shared" si="3"/>
        <v>37751.174642136903</v>
      </c>
      <c r="I12">
        <f t="shared" si="4"/>
        <v>37384.559237385591</v>
      </c>
      <c r="J12">
        <f t="shared" si="5"/>
        <v>250956.23082631279</v>
      </c>
      <c r="K12">
        <f>SQRT(SUMXMY2(F$10:F11,J$10:J11)/COUNT(J$10:J11))</f>
        <v>41253.943367566353</v>
      </c>
      <c r="L12">
        <f t="shared" si="6"/>
        <v>170099.98760562774</v>
      </c>
      <c r="M12">
        <f t="shared" si="7"/>
        <v>331812.47404699784</v>
      </c>
    </row>
    <row r="13" spans="1:13" x14ac:dyDescent="0.35">
      <c r="A13" s="27">
        <f t="shared" si="0"/>
        <v>10</v>
      </c>
      <c r="B13" s="27" t="s">
        <v>136</v>
      </c>
      <c r="C13" s="27">
        <v>91600</v>
      </c>
      <c r="E13" t="str">
        <f t="shared" si="1"/>
        <v>2019 Qtr4</v>
      </c>
      <c r="F13">
        <f t="shared" si="1"/>
        <v>311858</v>
      </c>
      <c r="G13">
        <f t="shared" si="2"/>
        <v>273889.02317136212</v>
      </c>
      <c r="H13">
        <f t="shared" si="3"/>
        <v>38272.473472741607</v>
      </c>
      <c r="I13">
        <f t="shared" si="4"/>
        <v>12556.385832230457</v>
      </c>
      <c r="J13">
        <f t="shared" si="5"/>
        <v>278295.47434075741</v>
      </c>
      <c r="K13">
        <f>SQRT(SUMXMY2(F$10:F12,J$10:J12)/COUNT(J$10:J12))</f>
        <v>62304.276022677783</v>
      </c>
      <c r="L13">
        <f t="shared" si="6"/>
        <v>156181.33725346654</v>
      </c>
      <c r="M13">
        <f t="shared" si="7"/>
        <v>400409.61142804829</v>
      </c>
    </row>
    <row r="14" spans="1:13" x14ac:dyDescent="0.35">
      <c r="A14" s="27">
        <f t="shared" si="0"/>
        <v>11</v>
      </c>
      <c r="B14" s="27" t="s">
        <v>137</v>
      </c>
      <c r="C14" s="27">
        <v>169303</v>
      </c>
      <c r="E14" t="str">
        <f t="shared" si="1"/>
        <v>2020 Qtr1</v>
      </c>
      <c r="F14">
        <f t="shared" si="1"/>
        <v>250063</v>
      </c>
      <c r="G14">
        <f t="shared" si="2"/>
        <v>311493.56803494052</v>
      </c>
      <c r="H14">
        <f t="shared" si="3"/>
        <v>37604.544863578398</v>
      </c>
      <c r="I14">
        <f t="shared" si="4"/>
        <v>-28869.979821506586</v>
      </c>
      <c r="J14">
        <f t="shared" si="5"/>
        <v>293065.91841740569</v>
      </c>
      <c r="K14">
        <f>SQRT(SUMXMY2(F$10:F13,J$10:J13)/COUNT(J$10:J13))</f>
        <v>56506.441138947564</v>
      </c>
      <c r="L14">
        <f t="shared" si="6"/>
        <v>182315.32889053601</v>
      </c>
      <c r="M14">
        <f t="shared" si="7"/>
        <v>403816.50794427539</v>
      </c>
    </row>
    <row r="15" spans="1:13" x14ac:dyDescent="0.35">
      <c r="A15" s="27">
        <f t="shared" si="0"/>
        <v>12</v>
      </c>
      <c r="B15" s="27" t="s">
        <v>138</v>
      </c>
      <c r="C15" s="27">
        <v>190752</v>
      </c>
      <c r="E15" t="str">
        <f t="shared" si="1"/>
        <v>2020 Qtr2</v>
      </c>
      <c r="F15">
        <f t="shared" si="1"/>
        <v>91600</v>
      </c>
      <c r="G15">
        <f t="shared" si="2"/>
        <v>344868.92940321093</v>
      </c>
      <c r="H15">
        <f t="shared" si="3"/>
        <v>33375.361368270416</v>
      </c>
      <c r="I15">
        <f t="shared" si="4"/>
        <v>-47102.131963139582</v>
      </c>
      <c r="J15">
        <f t="shared" si="5"/>
        <v>363885.43638641416</v>
      </c>
      <c r="K15">
        <f>SQRT(SUMXMY2(F$10:F14,J$10:J14)/COUNT(J$10:J14))</f>
        <v>54076.173224760329</v>
      </c>
      <c r="L15">
        <f t="shared" si="6"/>
        <v>257898.08444413473</v>
      </c>
      <c r="M15">
        <f t="shared" si="7"/>
        <v>469872.7883286936</v>
      </c>
    </row>
    <row r="16" spans="1:13" x14ac:dyDescent="0.35">
      <c r="A16" s="27">
        <f t="shared" si="0"/>
        <v>13</v>
      </c>
      <c r="B16" s="27" t="s">
        <v>139</v>
      </c>
      <c r="C16" s="27">
        <v>180074</v>
      </c>
      <c r="E16" t="str">
        <f t="shared" si="1"/>
        <v>2020 Qtr3</v>
      </c>
      <c r="F16">
        <f t="shared" si="1"/>
        <v>169303</v>
      </c>
      <c r="G16">
        <f t="shared" si="2"/>
        <v>374418.3159666931</v>
      </c>
      <c r="H16">
        <f t="shared" si="3"/>
        <v>29549.38656348217</v>
      </c>
      <c r="I16">
        <f t="shared" si="4"/>
        <v>-18604.379880633005</v>
      </c>
      <c r="J16">
        <f t="shared" si="5"/>
        <v>415628.85000886692</v>
      </c>
      <c r="K16">
        <f>SQRT(SUMXMY2(F$10:F15,J$10:J15)/COUNT(J$10:J15))</f>
        <v>121628.2049398298</v>
      </c>
      <c r="L16">
        <f t="shared" si="6"/>
        <v>177241.9488225439</v>
      </c>
      <c r="M16">
        <f t="shared" si="7"/>
        <v>654015.75119519001</v>
      </c>
    </row>
    <row r="17" spans="1:13" x14ac:dyDescent="0.35">
      <c r="A17" s="27">
        <f t="shared" si="0"/>
        <v>14</v>
      </c>
      <c r="B17" s="27" t="s">
        <v>140</v>
      </c>
      <c r="C17" s="27">
        <v>53804</v>
      </c>
      <c r="E17" t="str">
        <f t="shared" si="1"/>
        <v>2020 Qtr4</v>
      </c>
      <c r="F17">
        <f t="shared" si="1"/>
        <v>190752</v>
      </c>
      <c r="G17">
        <f t="shared" si="2"/>
        <v>400460.97223098861</v>
      </c>
      <c r="H17">
        <f t="shared" si="3"/>
        <v>26042.65626429551</v>
      </c>
      <c r="I17">
        <f t="shared" si="4"/>
        <v>-38760.760579384965</v>
      </c>
      <c r="J17">
        <f t="shared" si="5"/>
        <v>416524.08836240572</v>
      </c>
      <c r="K17">
        <f>SQRT(SUMXMY2(F$10:F16,J$10:J16)/COUNT(J$10:J16))</f>
        <v>146110.01031703191</v>
      </c>
      <c r="L17">
        <f t="shared" si="6"/>
        <v>130153.73036024754</v>
      </c>
      <c r="M17">
        <f t="shared" si="7"/>
        <v>702894.44636456389</v>
      </c>
    </row>
    <row r="18" spans="1:13" x14ac:dyDescent="0.35">
      <c r="A18" s="27">
        <f>A17+1</f>
        <v>15</v>
      </c>
      <c r="B18" s="109" t="s">
        <v>141</v>
      </c>
      <c r="C18" s="27">
        <v>29102</v>
      </c>
      <c r="E18" t="str">
        <f t="shared" si="1"/>
        <v>2021 Qtr1</v>
      </c>
      <c r="F18">
        <f t="shared" si="1"/>
        <v>180074</v>
      </c>
      <c r="G18">
        <f t="shared" si="2"/>
        <v>423124.45519969007</v>
      </c>
      <c r="H18">
        <f t="shared" si="3"/>
        <v>22663.482968701457</v>
      </c>
      <c r="I18">
        <f t="shared" si="4"/>
        <v>-78320.469584132661</v>
      </c>
      <c r="J18">
        <f t="shared" si="5"/>
        <v>397633.64867377753</v>
      </c>
      <c r="K18">
        <f>SQRT(SUMXMY2(F$10:F17,J$10:J17)/COUNT(J$10:J17))</f>
        <v>158275.85953305708</v>
      </c>
      <c r="L18">
        <f t="shared" si="6"/>
        <v>87418.664366865123</v>
      </c>
      <c r="M18">
        <f t="shared" si="7"/>
        <v>707848.63298068987</v>
      </c>
    </row>
    <row r="19" spans="1:13" x14ac:dyDescent="0.35">
      <c r="A19" s="27">
        <f t="shared" si="0"/>
        <v>16</v>
      </c>
      <c r="B19" s="109" t="s">
        <v>142</v>
      </c>
      <c r="C19" s="28">
        <v>68234</v>
      </c>
      <c r="E19" t="str">
        <f t="shared" si="1"/>
        <v>2021 Qtr2</v>
      </c>
      <c r="F19">
        <f t="shared" si="1"/>
        <v>53804</v>
      </c>
      <c r="G19">
        <f t="shared" si="2"/>
        <v>440431.175566644</v>
      </c>
      <c r="H19">
        <f t="shared" si="3"/>
        <v>17306.72036695393</v>
      </c>
      <c r="I19">
        <f t="shared" si="4"/>
        <v>-125492.46919263885</v>
      </c>
      <c r="J19">
        <f t="shared" si="5"/>
        <v>398685.80620525195</v>
      </c>
      <c r="K19">
        <f>SQRT(SUMXMY2(F$10:F18,J$10:J18)/COUNT(J$10:J18))</f>
        <v>165912.35384265115</v>
      </c>
      <c r="L19">
        <f t="shared" si="6"/>
        <v>73503.568083390128</v>
      </c>
      <c r="M19">
        <f t="shared" si="7"/>
        <v>723868.04432711378</v>
      </c>
    </row>
    <row r="20" spans="1:13" x14ac:dyDescent="0.35">
      <c r="A20" s="27">
        <f t="shared" si="0"/>
        <v>17</v>
      </c>
      <c r="B20" s="87" t="s">
        <v>143</v>
      </c>
      <c r="C20">
        <v>114171</v>
      </c>
      <c r="E20" t="str">
        <f t="shared" si="1"/>
        <v>2021 Qtr3</v>
      </c>
      <c r="F20">
        <f t="shared" si="1"/>
        <v>29102</v>
      </c>
      <c r="G20">
        <f t="shared" si="2"/>
        <v>451369.21700878628</v>
      </c>
      <c r="H20">
        <f t="shared" si="3"/>
        <v>10938.041442142276</v>
      </c>
      <c r="I20">
        <f t="shared" si="4"/>
        <v>-111803.00108880879</v>
      </c>
      <c r="J20">
        <f t="shared" si="5"/>
        <v>439133.5160529649</v>
      </c>
      <c r="K20">
        <f>SQRT(SUMXMY2(F$10:F19,J$10:J19)/COUNT(J$10:J19))</f>
        <v>191490.37643439911</v>
      </c>
      <c r="L20">
        <f t="shared" si="6"/>
        <v>63819.274855525233</v>
      </c>
      <c r="M20">
        <f t="shared" si="7"/>
        <v>814447.75725040457</v>
      </c>
    </row>
    <row r="21" spans="1:13" x14ac:dyDescent="0.35">
      <c r="A21" s="27">
        <f t="shared" si="0"/>
        <v>18</v>
      </c>
      <c r="B21" t="s">
        <v>144</v>
      </c>
      <c r="C21">
        <v>107045</v>
      </c>
      <c r="E21" t="str">
        <f t="shared" si="1"/>
        <v>2021 Qtr4</v>
      </c>
      <c r="F21">
        <f t="shared" ref="F21:F30" si="8">C19</f>
        <v>68234</v>
      </c>
      <c r="G21">
        <f t="shared" ref="G21:G30" si="9">$F$37*(F21-I17)+(1-$F$37)*(G20+H20)</f>
        <v>456788.48458032595</v>
      </c>
      <c r="H21">
        <f t="shared" ref="H21:H30" si="10">$G$37*(G21-G20)+(1-$G$37)*H20</f>
        <v>5419.2675715396763</v>
      </c>
      <c r="I21" s="87">
        <f t="shared" si="4"/>
        <v>-119521.95478813267</v>
      </c>
      <c r="J21" s="87">
        <f t="shared" si="5"/>
        <v>423546.49787154357</v>
      </c>
      <c r="K21" s="87">
        <f>SQRT(SUMXMY2(F$10:F20,J$10:J20)/COUNT(J$10:J20))</f>
        <v>220497.6781627028</v>
      </c>
      <c r="L21" s="87">
        <f t="shared" si="6"/>
        <v>-8621.0100020577665</v>
      </c>
      <c r="M21" s="87">
        <f t="shared" si="7"/>
        <v>855714.00574514491</v>
      </c>
    </row>
    <row r="22" spans="1:13" x14ac:dyDescent="0.35">
      <c r="A22" s="27">
        <f t="shared" si="0"/>
        <v>19</v>
      </c>
      <c r="B22" t="s">
        <v>145</v>
      </c>
      <c r="C22">
        <v>115175</v>
      </c>
      <c r="E22" t="str">
        <f t="shared" si="1"/>
        <v>2022 Qtr1</v>
      </c>
      <c r="F22">
        <f t="shared" si="8"/>
        <v>114171</v>
      </c>
      <c r="G22">
        <f t="shared" si="9"/>
        <v>458018.47318862181</v>
      </c>
      <c r="H22">
        <f t="shared" si="10"/>
        <v>1229.9886082958546</v>
      </c>
      <c r="I22" s="87">
        <f t="shared" ref="I22:I27" si="11">I18</f>
        <v>-78320.469584132661</v>
      </c>
      <c r="J22" s="87">
        <f t="shared" ref="J22:J27" si="12">$G$21+$H$21*(ROW(G22)-ROW($G$21))+I22</f>
        <v>383887.28256773297</v>
      </c>
      <c r="K22" s="87">
        <f>SQRT(SUMXMY2(F$10:F21,J$10:J21)/COUNT(J$10:J21))</f>
        <v>234708.76598639699</v>
      </c>
      <c r="L22" s="87">
        <f t="shared" si="6"/>
        <v>-76133.445621444669</v>
      </c>
      <c r="M22" s="87">
        <f t="shared" si="7"/>
        <v>843908.01075691055</v>
      </c>
    </row>
    <row r="23" spans="1:13" x14ac:dyDescent="0.35">
      <c r="A23" s="27">
        <f t="shared" si="0"/>
        <v>20</v>
      </c>
      <c r="B23" t="s">
        <v>146</v>
      </c>
      <c r="C23">
        <v>121668</v>
      </c>
      <c r="E23" t="str">
        <f t="shared" ref="E23:E30" si="13">B21</f>
        <v>2022 Qtr2</v>
      </c>
      <c r="F23">
        <f t="shared" si="8"/>
        <v>107045</v>
      </c>
      <c r="G23">
        <f t="shared" si="9"/>
        <v>455727.14827809174</v>
      </c>
      <c r="H23">
        <f t="shared" si="10"/>
        <v>-2291.3249105300638</v>
      </c>
      <c r="I23">
        <f t="shared" si="11"/>
        <v>-125492.46919263885</v>
      </c>
      <c r="J23">
        <f t="shared" si="12"/>
        <v>342134.55053076649</v>
      </c>
      <c r="K23">
        <f>K$22*SQRT((K22/K$22)^2-1+(F$37*(1+(ROW(J23)-ROW(J$22))*G$37))^2+1)</f>
        <v>234821.98485277101</v>
      </c>
      <c r="L23">
        <f t="shared" si="6"/>
        <v>-118108.08255887468</v>
      </c>
      <c r="M23">
        <f t="shared" si="7"/>
        <v>802377.18362040771</v>
      </c>
    </row>
    <row r="24" spans="1:13" x14ac:dyDescent="0.35">
      <c r="A24" s="27">
        <f t="shared" si="0"/>
        <v>21</v>
      </c>
      <c r="B24" t="s">
        <v>147</v>
      </c>
      <c r="C24">
        <v>114967</v>
      </c>
      <c r="E24" t="str">
        <f t="shared" si="13"/>
        <v>2022 Qtr3</v>
      </c>
      <c r="F24">
        <f t="shared" si="8"/>
        <v>115175</v>
      </c>
      <c r="G24">
        <f t="shared" si="9"/>
        <v>449918.44213309308</v>
      </c>
      <c r="H24">
        <f t="shared" si="10"/>
        <v>-5808.706144998665</v>
      </c>
      <c r="I24">
        <f t="shared" si="11"/>
        <v>-111803.00108880879</v>
      </c>
      <c r="J24">
        <f t="shared" si="12"/>
        <v>361243.28620613622</v>
      </c>
      <c r="K24">
        <f>K$22*SQRT((K23/K$22)^2-1+(F$37*(1+(ROW(J24)-ROW(J$22))*G$37))^2+1)</f>
        <v>235076.5279301721</v>
      </c>
      <c r="L24">
        <f t="shared" si="6"/>
        <v>-99498.242147725075</v>
      </c>
      <c r="M24">
        <f t="shared" si="7"/>
        <v>821984.81455999753</v>
      </c>
    </row>
    <row r="25" spans="1:13" x14ac:dyDescent="0.35">
      <c r="A25" s="27">
        <f t="shared" si="0"/>
        <v>22</v>
      </c>
      <c r="B25" t="s">
        <v>148</v>
      </c>
      <c r="C25">
        <v>128202</v>
      </c>
      <c r="E25" t="str">
        <f t="shared" si="13"/>
        <v>2022 Qtr4</v>
      </c>
      <c r="F25">
        <f t="shared" si="8"/>
        <v>121668</v>
      </c>
      <c r="G25">
        <f t="shared" si="9"/>
        <v>440957.95159260259</v>
      </c>
      <c r="H25">
        <f t="shared" si="10"/>
        <v>-8960.4905404904857</v>
      </c>
      <c r="I25">
        <f t="shared" si="11"/>
        <v>-119521.95478813267</v>
      </c>
      <c r="J25">
        <f t="shared" si="12"/>
        <v>358943.60007835197</v>
      </c>
      <c r="K25">
        <f>K$22*SQRT((K24/K$22)^2-1+(F$37*(1+(ROW(J25)-ROW(J$22))*G$37))^2+1)</f>
        <v>235528.36971595592</v>
      </c>
      <c r="L25">
        <f t="shared" si="6"/>
        <v>-102683.52190235589</v>
      </c>
      <c r="M25">
        <f t="shared" si="7"/>
        <v>820570.72205905989</v>
      </c>
    </row>
    <row r="26" spans="1:13" x14ac:dyDescent="0.35">
      <c r="A26" s="27">
        <f t="shared" si="0"/>
        <v>23</v>
      </c>
      <c r="B26" t="s">
        <v>149</v>
      </c>
      <c r="C26">
        <v>138447</v>
      </c>
      <c r="E26" t="str">
        <f t="shared" si="13"/>
        <v>2023 Qtr1</v>
      </c>
      <c r="F26">
        <f t="shared" si="8"/>
        <v>114967</v>
      </c>
      <c r="G26">
        <f t="shared" si="9"/>
        <v>428289.77705152979</v>
      </c>
      <c r="H26">
        <f t="shared" si="10"/>
        <v>-12668.174541072804</v>
      </c>
      <c r="I26">
        <f t="shared" si="11"/>
        <v>-78320.469584132661</v>
      </c>
      <c r="J26">
        <f t="shared" si="12"/>
        <v>405564.35285389167</v>
      </c>
      <c r="K26">
        <f>K$22*SQRT((K25/K$22)^2-1+(F$37*(1+(ROW(J26)-ROW(J$22))*G$37+(1-F$37)*H$37))^2+1)</f>
        <v>236298.02250439476</v>
      </c>
      <c r="L26">
        <f t="shared" si="6"/>
        <v>-57571.260872757121</v>
      </c>
      <c r="M26">
        <f t="shared" si="7"/>
        <v>868699.96658054041</v>
      </c>
    </row>
    <row r="27" spans="1:13" x14ac:dyDescent="0.35">
      <c r="A27" s="27">
        <f t="shared" si="0"/>
        <v>24</v>
      </c>
      <c r="B27" t="s">
        <v>150</v>
      </c>
      <c r="C27">
        <v>154073</v>
      </c>
      <c r="E27" t="str">
        <f t="shared" si="13"/>
        <v>2023 Qtr2</v>
      </c>
      <c r="F27">
        <f t="shared" si="8"/>
        <v>128202</v>
      </c>
      <c r="G27">
        <f t="shared" si="9"/>
        <v>413106.52286184009</v>
      </c>
      <c r="H27">
        <f t="shared" si="10"/>
        <v>-15183.254189689702</v>
      </c>
      <c r="I27">
        <f t="shared" si="11"/>
        <v>-125492.46919263885</v>
      </c>
      <c r="J27">
        <f t="shared" si="12"/>
        <v>363811.62081692519</v>
      </c>
      <c r="K27">
        <f>K$22*SQRT((K26/K$22)^2-1+(F$37*(1+(ROW(J27)-ROW(J$22))*G$37))^2+1)</f>
        <v>237308.22382194694</v>
      </c>
      <c r="L27">
        <f t="shared" si="6"/>
        <v>-101303.95110926079</v>
      </c>
      <c r="M27">
        <f t="shared" si="7"/>
        <v>828927.19274311117</v>
      </c>
    </row>
    <row r="28" spans="1:13" x14ac:dyDescent="0.35">
      <c r="A28" s="27">
        <f t="shared" si="0"/>
        <v>25</v>
      </c>
      <c r="B28" t="s">
        <v>151</v>
      </c>
      <c r="C28">
        <v>141367</v>
      </c>
      <c r="E28" t="str">
        <f t="shared" si="13"/>
        <v>2023 Qtr3</v>
      </c>
      <c r="F28">
        <f t="shared" si="8"/>
        <v>138447</v>
      </c>
      <c r="G28">
        <f t="shared" si="9"/>
        <v>395629.58247927099</v>
      </c>
      <c r="H28">
        <f t="shared" si="10"/>
        <v>-17476.940382569097</v>
      </c>
    </row>
    <row r="29" spans="1:13" x14ac:dyDescent="0.35">
      <c r="A29" s="27"/>
      <c r="E29" t="str">
        <f t="shared" si="13"/>
        <v>2023 Qtr4</v>
      </c>
      <c r="F29">
        <f t="shared" si="8"/>
        <v>154073</v>
      </c>
      <c r="G29">
        <f t="shared" si="9"/>
        <v>376528.63439602772</v>
      </c>
      <c r="H29">
        <f t="shared" si="10"/>
        <v>-19100.948083243275</v>
      </c>
    </row>
    <row r="30" spans="1:13" x14ac:dyDescent="0.35">
      <c r="A30" s="27"/>
      <c r="E30" s="110" t="str">
        <f t="shared" si="13"/>
        <v>2024 Qtr1</v>
      </c>
      <c r="F30" s="110">
        <f t="shared" si="8"/>
        <v>141367</v>
      </c>
      <c r="G30" s="110">
        <f t="shared" si="9"/>
        <v>355288.28194742475</v>
      </c>
      <c r="H30" s="110">
        <f t="shared" si="10"/>
        <v>-21240.352448602964</v>
      </c>
    </row>
    <row r="31" spans="1:13" x14ac:dyDescent="0.35">
      <c r="A31" s="27"/>
    </row>
    <row r="32" spans="1:13" x14ac:dyDescent="0.35">
      <c r="A32" s="27"/>
    </row>
    <row r="33" spans="1:11" x14ac:dyDescent="0.35">
      <c r="A33" s="27"/>
    </row>
    <row r="34" spans="1:11" x14ac:dyDescent="0.35">
      <c r="A34" s="27"/>
    </row>
    <row r="35" spans="1:11" x14ac:dyDescent="0.35">
      <c r="A35" s="27"/>
    </row>
    <row r="36" spans="1:11" x14ac:dyDescent="0.35">
      <c r="F36" s="22" t="s">
        <v>28</v>
      </c>
      <c r="G36" s="22" t="s">
        <v>51</v>
      </c>
      <c r="H36" s="22" t="s">
        <v>52</v>
      </c>
      <c r="I36" s="22" t="s">
        <v>36</v>
      </c>
      <c r="J36" s="22" t="s">
        <v>37</v>
      </c>
      <c r="K36" s="22" t="s">
        <v>38</v>
      </c>
    </row>
    <row r="37" spans="1:11" x14ac:dyDescent="0.35">
      <c r="F37" s="30">
        <v>1.5532169297905837E-2</v>
      </c>
      <c r="G37" s="31">
        <v>1</v>
      </c>
      <c r="H37" s="32">
        <v>0.23088234198430174</v>
      </c>
      <c r="I37" s="30">
        <f>SUMPRODUCT(ABS(F10:F21-J10:J21))/COUNT(J10:J21)</f>
        <v>192994.56922818764</v>
      </c>
      <c r="J37" s="33">
        <f>SUMXMY2(F10:F21,J10:J21)/COUNT(J10:J21)</f>
        <v>55088204830.857262</v>
      </c>
      <c r="K37" s="32">
        <f>SUMPRODUCT(ABS(1-J10:J21/F10:F21))/COUNT(J10:J21)</f>
        <v>2.785444408703611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B046-FA0A-4648-9101-F92534D0AC03}">
  <sheetPr>
    <tabColor rgb="FF92D050"/>
  </sheetPr>
  <dimension ref="A3:B18"/>
  <sheetViews>
    <sheetView topLeftCell="A7" workbookViewId="0">
      <selection activeCell="G21" sqref="G21"/>
    </sheetView>
  </sheetViews>
  <sheetFormatPr defaultRowHeight="14.5" x14ac:dyDescent="0.35"/>
  <sheetData>
    <row r="3" spans="1:2" x14ac:dyDescent="0.35">
      <c r="B3" t="s">
        <v>77</v>
      </c>
    </row>
    <row r="4" spans="1:2" x14ac:dyDescent="0.35">
      <c r="A4">
        <v>1</v>
      </c>
      <c r="B4" t="s">
        <v>78</v>
      </c>
    </row>
    <row r="5" spans="1:2" x14ac:dyDescent="0.35">
      <c r="B5" t="s">
        <v>79</v>
      </c>
    </row>
    <row r="6" spans="1:2" x14ac:dyDescent="0.35">
      <c r="B6" t="s">
        <v>80</v>
      </c>
    </row>
    <row r="7" spans="1:2" x14ac:dyDescent="0.35">
      <c r="B7" t="s">
        <v>81</v>
      </c>
    </row>
    <row r="9" spans="1:2" x14ac:dyDescent="0.35">
      <c r="B9" t="s">
        <v>82</v>
      </c>
    </row>
    <row r="10" spans="1:2" x14ac:dyDescent="0.35">
      <c r="B10" t="s">
        <v>83</v>
      </c>
    </row>
    <row r="13" spans="1:2" x14ac:dyDescent="0.35">
      <c r="B13" t="s">
        <v>84</v>
      </c>
    </row>
    <row r="14" spans="1:2" x14ac:dyDescent="0.35">
      <c r="A14">
        <v>1</v>
      </c>
      <c r="B14" t="s">
        <v>85</v>
      </c>
    </row>
    <row r="15" spans="1:2" x14ac:dyDescent="0.35">
      <c r="A15">
        <v>2</v>
      </c>
      <c r="B15" t="s">
        <v>87</v>
      </c>
    </row>
    <row r="16" spans="1:2" x14ac:dyDescent="0.35">
      <c r="A16">
        <v>3</v>
      </c>
      <c r="B16" t="s">
        <v>86</v>
      </c>
    </row>
    <row r="18" spans="1:2" x14ac:dyDescent="0.35">
      <c r="A18">
        <v>4</v>
      </c>
      <c r="B18" t="s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0805-790E-4A48-A5F7-ED9414222095}">
  <sheetPr>
    <tabColor rgb="FF92D050"/>
  </sheetPr>
  <dimension ref="A1:J86"/>
  <sheetViews>
    <sheetView zoomScale="55" zoomScaleNormal="55" workbookViewId="0">
      <pane ySplit="1" topLeftCell="A48" activePane="bottomLeft" state="frozen"/>
      <selection pane="bottomLeft" activeCell="C82" sqref="C82"/>
    </sheetView>
  </sheetViews>
  <sheetFormatPr defaultRowHeight="14.5" x14ac:dyDescent="0.35"/>
  <cols>
    <col min="1" max="1" width="10.54296875" bestFit="1" customWidth="1"/>
    <col min="2" max="2" width="10.08984375" bestFit="1" customWidth="1"/>
    <col min="3" max="3" width="8.54296875" bestFit="1" customWidth="1"/>
    <col min="6" max="6" width="10.54296875" bestFit="1" customWidth="1"/>
  </cols>
  <sheetData>
    <row r="1" spans="1:6" x14ac:dyDescent="0.35">
      <c r="A1" t="s">
        <v>3</v>
      </c>
      <c r="B1" s="1" t="s">
        <v>4</v>
      </c>
      <c r="C1" t="s">
        <v>29</v>
      </c>
      <c r="D1" t="s">
        <v>41</v>
      </c>
      <c r="E1" t="s">
        <v>28</v>
      </c>
      <c r="F1">
        <v>6.1646419401242304E-2</v>
      </c>
    </row>
    <row r="2" spans="1:6" x14ac:dyDescent="0.35">
      <c r="A2" s="3">
        <v>43131</v>
      </c>
      <c r="B2" s="2">
        <v>34890</v>
      </c>
      <c r="C2" s="2">
        <v>34890</v>
      </c>
    </row>
    <row r="3" spans="1:6" x14ac:dyDescent="0.35">
      <c r="A3" s="3">
        <v>43159</v>
      </c>
      <c r="B3" s="2">
        <v>25830</v>
      </c>
      <c r="C3" s="2">
        <f>($F$1*B2)+((1-$F$1)*C2)</f>
        <v>34890</v>
      </c>
      <c r="D3" s="5"/>
    </row>
    <row r="4" spans="1:6" x14ac:dyDescent="0.35">
      <c r="A4" s="3">
        <v>43190</v>
      </c>
      <c r="B4" s="2">
        <v>41054</v>
      </c>
      <c r="C4" s="2">
        <f t="shared" ref="C4:C67" si="0">($F$1*B3)+((1-$F$1)*C3)</f>
        <v>34331.483440224743</v>
      </c>
    </row>
    <row r="5" spans="1:6" x14ac:dyDescent="0.35">
      <c r="A5" s="3">
        <v>43220</v>
      </c>
      <c r="B5" s="2">
        <v>36838</v>
      </c>
      <c r="C5" s="2">
        <f t="shared" si="0"/>
        <v>34745.902515500449</v>
      </c>
    </row>
    <row r="6" spans="1:6" x14ac:dyDescent="0.35">
      <c r="A6" s="3">
        <v>43251</v>
      </c>
      <c r="B6" s="2">
        <v>56808</v>
      </c>
      <c r="C6" s="2">
        <f t="shared" si="0"/>
        <v>34874.87283445819</v>
      </c>
    </row>
    <row r="7" spans="1:6" x14ac:dyDescent="0.35">
      <c r="A7" s="3">
        <v>43281</v>
      </c>
      <c r="B7" s="2">
        <v>34939</v>
      </c>
      <c r="C7" s="2">
        <f t="shared" si="0"/>
        <v>36226.971590485962</v>
      </c>
    </row>
    <row r="8" spans="1:6" x14ac:dyDescent="0.35">
      <c r="A8" s="3">
        <v>43312</v>
      </c>
      <c r="B8" s="2">
        <v>41853</v>
      </c>
      <c r="C8" s="2">
        <f t="shared" si="0"/>
        <v>36147.57275364198</v>
      </c>
    </row>
    <row r="9" spans="1:6" x14ac:dyDescent="0.35">
      <c r="A9" s="3">
        <v>43343</v>
      </c>
      <c r="B9" s="2">
        <v>58036</v>
      </c>
      <c r="C9" s="2">
        <f t="shared" si="0"/>
        <v>36499.291914534246</v>
      </c>
    </row>
    <row r="10" spans="1:6" x14ac:dyDescent="0.35">
      <c r="A10" s="3">
        <v>43373</v>
      </c>
      <c r="B10" s="2">
        <v>42879</v>
      </c>
      <c r="C10" s="2">
        <f t="shared" si="0"/>
        <v>37826.952853692994</v>
      </c>
    </row>
    <row r="11" spans="1:6" x14ac:dyDescent="0.35">
      <c r="A11" s="3">
        <v>43404</v>
      </c>
      <c r="B11" s="2">
        <v>54081</v>
      </c>
      <c r="C11" s="2">
        <f t="shared" si="0"/>
        <v>38138.39347090909</v>
      </c>
    </row>
    <row r="12" spans="1:6" x14ac:dyDescent="0.35">
      <c r="A12" s="3">
        <v>43434</v>
      </c>
      <c r="B12" s="2">
        <v>31764</v>
      </c>
      <c r="C12" s="2">
        <f t="shared" si="0"/>
        <v>39121.198079350412</v>
      </c>
    </row>
    <row r="13" spans="1:6" x14ac:dyDescent="0.35">
      <c r="A13" s="3">
        <v>43465</v>
      </c>
      <c r="B13" s="2">
        <v>45101</v>
      </c>
      <c r="C13" s="2">
        <f t="shared" si="0"/>
        <v>38667.653160932765</v>
      </c>
    </row>
    <row r="14" spans="1:6" x14ac:dyDescent="0.35">
      <c r="A14" s="3">
        <v>43496</v>
      </c>
      <c r="B14" s="2">
        <v>61974</v>
      </c>
      <c r="C14" s="2">
        <f t="shared" si="0"/>
        <v>39064.245958327556</v>
      </c>
    </row>
    <row r="15" spans="1:6" x14ac:dyDescent="0.35">
      <c r="A15" s="3">
        <v>43524</v>
      </c>
      <c r="B15" s="2">
        <v>37927</v>
      </c>
      <c r="C15" s="2">
        <f t="shared" si="0"/>
        <v>40476.550264359801</v>
      </c>
    </row>
    <row r="16" spans="1:6" x14ac:dyDescent="0.35">
      <c r="A16" s="3">
        <v>43555</v>
      </c>
      <c r="B16" s="2">
        <v>59679</v>
      </c>
      <c r="C16" s="2">
        <f t="shared" si="0"/>
        <v>40319.379619478525</v>
      </c>
    </row>
    <row r="17" spans="1:10" x14ac:dyDescent="0.35">
      <c r="A17" s="3">
        <v>43585</v>
      </c>
      <c r="B17" s="2">
        <v>56163</v>
      </c>
      <c r="C17" s="2">
        <f t="shared" si="0"/>
        <v>41512.83089690499</v>
      </c>
    </row>
    <row r="18" spans="1:10" x14ac:dyDescent="0.35">
      <c r="A18" s="3">
        <v>43616</v>
      </c>
      <c r="B18" s="2">
        <v>118501</v>
      </c>
      <c r="C18" s="2">
        <f t="shared" si="0"/>
        <v>42415.961365733507</v>
      </c>
    </row>
    <row r="19" spans="1:10" x14ac:dyDescent="0.35">
      <c r="A19" s="3">
        <v>43646</v>
      </c>
      <c r="B19" s="2">
        <v>78698</v>
      </c>
      <c r="C19" s="2">
        <f t="shared" si="0"/>
        <v>47106.331567541223</v>
      </c>
    </row>
    <row r="20" spans="1:10" x14ac:dyDescent="0.35">
      <c r="A20" s="3">
        <v>43677</v>
      </c>
      <c r="B20" s="2">
        <v>109530</v>
      </c>
      <c r="C20" s="2">
        <f t="shared" si="0"/>
        <v>49053.844809313567</v>
      </c>
    </row>
    <row r="21" spans="1:10" x14ac:dyDescent="0.35">
      <c r="A21" s="3">
        <v>43708</v>
      </c>
      <c r="B21" s="2">
        <v>116775</v>
      </c>
      <c r="C21" s="2">
        <f t="shared" si="0"/>
        <v>52781.983235973239</v>
      </c>
    </row>
    <row r="22" spans="1:10" x14ac:dyDescent="0.35">
      <c r="A22" s="3">
        <v>43738</v>
      </c>
      <c r="B22" s="2">
        <v>115435</v>
      </c>
      <c r="C22" s="2">
        <f t="shared" si="0"/>
        <v>56726.923586159166</v>
      </c>
    </row>
    <row r="23" spans="1:10" x14ac:dyDescent="0.35">
      <c r="A23" s="3">
        <v>43769</v>
      </c>
      <c r="B23" s="2">
        <v>100006</v>
      </c>
      <c r="C23" s="2">
        <f t="shared" si="0"/>
        <v>60346.066287006979</v>
      </c>
    </row>
    <row r="24" spans="1:10" x14ac:dyDescent="0.35">
      <c r="A24" s="3">
        <v>43799</v>
      </c>
      <c r="B24" s="2">
        <v>105375</v>
      </c>
      <c r="C24" s="2">
        <f t="shared" si="0"/>
        <v>62790.95919410362</v>
      </c>
    </row>
    <row r="25" spans="1:10" x14ac:dyDescent="0.35">
      <c r="A25" s="3">
        <v>43830</v>
      </c>
      <c r="B25" s="2">
        <v>106477</v>
      </c>
      <c r="C25" s="2">
        <f t="shared" si="0"/>
        <v>65416.112833423525</v>
      </c>
    </row>
    <row r="26" spans="1:10" x14ac:dyDescent="0.35">
      <c r="A26" s="3">
        <v>43861</v>
      </c>
      <c r="B26" s="2">
        <v>82087</v>
      </c>
      <c r="C26" s="2">
        <f t="shared" si="0"/>
        <v>67947.369504681395</v>
      </c>
    </row>
    <row r="27" spans="1:10" x14ac:dyDescent="0.35">
      <c r="A27" s="3">
        <v>43890</v>
      </c>
      <c r="B27" s="2">
        <v>90055</v>
      </c>
      <c r="C27" s="2">
        <f t="shared" si="0"/>
        <v>68819.027096374411</v>
      </c>
    </row>
    <row r="28" spans="1:10" x14ac:dyDescent="0.35">
      <c r="A28" s="3">
        <v>43921</v>
      </c>
      <c r="B28" s="2">
        <v>77921</v>
      </c>
      <c r="C28" s="2">
        <f t="shared" si="0"/>
        <v>70128.148788384729</v>
      </c>
    </row>
    <row r="29" spans="1:10" x14ac:dyDescent="0.35">
      <c r="A29" s="3">
        <v>43951</v>
      </c>
      <c r="B29" s="2">
        <v>31224</v>
      </c>
      <c r="C29" s="2">
        <f t="shared" si="0"/>
        <v>70608.550162507454</v>
      </c>
    </row>
    <row r="30" spans="1:10" x14ac:dyDescent="0.35">
      <c r="A30" s="3">
        <v>43982</v>
      </c>
      <c r="B30" s="2">
        <v>23641</v>
      </c>
      <c r="C30" s="2">
        <f t="shared" si="0"/>
        <v>68180.633665260248</v>
      </c>
      <c r="F30" s="22" t="s">
        <v>36</v>
      </c>
      <c r="G30" s="22" t="s">
        <v>40</v>
      </c>
      <c r="H30" s="22" t="s">
        <v>38</v>
      </c>
      <c r="I30" s="22" t="s">
        <v>41</v>
      </c>
      <c r="J30" s="22" t="s">
        <v>53</v>
      </c>
    </row>
    <row r="31" spans="1:10" x14ac:dyDescent="0.35">
      <c r="A31" s="3">
        <v>44012</v>
      </c>
      <c r="B31" s="2">
        <v>36735</v>
      </c>
      <c r="C31" s="2">
        <f t="shared" si="0"/>
        <v>65434.92472835393</v>
      </c>
      <c r="F31" s="19" cm="1">
        <f t="array" ref="F31">SUMPRODUCT(ABS('Exp Smoothing - Orange Opt @'!B54:B65-'Exp Smoothing - Orange Opt @'!C54:C65))/COUNT('Exp Smoothing - Orange Opt @'!C54:C65)</f>
        <v>5283.4491123096186</v>
      </c>
      <c r="G31" s="19">
        <f>(SUMXMY2('Exp Smoothing - Orange Opt @'!B54:B65,'Exp Smoothing - Orange Opt @'!C54:C65)/COUNT('Exp Smoothing - Orange Opt @'!C54:C65))^0.5</f>
        <v>6570.4770100589449</v>
      </c>
      <c r="H31" s="23" cm="1">
        <f t="array" ref="H31">SUMPRODUCT(ABS(1-'Exp Smoothing - Orange Opt @'!C54:C65/'Exp Smoothing - Orange Opt @'!B54:B65))/COUNT('Exp Smoothing - Orange Opt @'!C54:C65)</f>
        <v>0.14827814638736667</v>
      </c>
      <c r="I31" s="5" cm="1">
        <f t="array" ref="I31">SUM('Exp Smoothing - Orange Opt @'!C54:C65-'Exp Smoothing - Orange Opt @'!B54:B65)</f>
        <v>16354.195530599412</v>
      </c>
    </row>
    <row r="32" spans="1:10" x14ac:dyDescent="0.35">
      <c r="A32" s="3">
        <v>44043</v>
      </c>
      <c r="B32" s="2">
        <v>44506</v>
      </c>
      <c r="C32" s="2">
        <f t="shared" si="0"/>
        <v>63665.67713176574</v>
      </c>
    </row>
    <row r="33" spans="1:7" x14ac:dyDescent="0.35">
      <c r="A33" s="3">
        <v>44074</v>
      </c>
      <c r="B33" s="2">
        <v>55883</v>
      </c>
      <c r="C33" s="2">
        <f t="shared" si="0"/>
        <v>62484.551639708523</v>
      </c>
    </row>
    <row r="34" spans="1:7" x14ac:dyDescent="0.35">
      <c r="A34" s="3">
        <v>44104</v>
      </c>
      <c r="B34" s="2">
        <v>68914</v>
      </c>
      <c r="C34" s="2">
        <f t="shared" si="0"/>
        <v>62077.589618628088</v>
      </c>
    </row>
    <row r="35" spans="1:7" x14ac:dyDescent="0.35">
      <c r="A35" s="3">
        <v>44135</v>
      </c>
      <c r="B35" s="2">
        <v>47439</v>
      </c>
      <c r="C35" s="2">
        <f t="shared" si="0"/>
        <v>62499.029840197152</v>
      </c>
    </row>
    <row r="36" spans="1:7" x14ac:dyDescent="0.35">
      <c r="A36" s="3">
        <v>44165</v>
      </c>
      <c r="B36" s="2">
        <v>75926</v>
      </c>
      <c r="C36" s="2">
        <f t="shared" si="0"/>
        <v>61570.632924473139</v>
      </c>
    </row>
    <row r="37" spans="1:7" x14ac:dyDescent="0.35">
      <c r="A37" s="3">
        <v>44196</v>
      </c>
      <c r="B37" s="2">
        <v>67387</v>
      </c>
      <c r="C37" s="2">
        <f t="shared" si="0"/>
        <v>62455.589903869855</v>
      </c>
    </row>
    <row r="38" spans="1:7" x14ac:dyDescent="0.35">
      <c r="A38" s="3">
        <v>44227</v>
      </c>
      <c r="B38" s="2">
        <v>60442</v>
      </c>
      <c r="C38" s="2">
        <f>($F$1*B37)+((1-$F$1)*C37)</f>
        <v>62759.593678895413</v>
      </c>
      <c r="F38" t="s">
        <v>30</v>
      </c>
      <c r="G38" t="s">
        <v>31</v>
      </c>
    </row>
    <row r="39" spans="1:7" x14ac:dyDescent="0.35">
      <c r="A39" s="3">
        <v>44255</v>
      </c>
      <c r="B39" s="2">
        <v>63811</v>
      </c>
      <c r="C39" s="2">
        <f t="shared" si="0"/>
        <v>62616.722326964562</v>
      </c>
      <c r="F39" s="3">
        <v>44012</v>
      </c>
      <c r="G39" s="5">
        <f t="shared" ref="G39:G42" si="1">SUM(C31:C34)</f>
        <v>253662.74311845627</v>
      </c>
    </row>
    <row r="40" spans="1:7" x14ac:dyDescent="0.35">
      <c r="A40" s="3">
        <v>44286</v>
      </c>
      <c r="B40" s="2">
        <v>55821</v>
      </c>
      <c r="C40" s="2">
        <f t="shared" si="0"/>
        <v>62690.345269278048</v>
      </c>
      <c r="F40" s="3">
        <v>44043</v>
      </c>
      <c r="G40" s="5">
        <f t="shared" si="1"/>
        <v>250726.84823029951</v>
      </c>
    </row>
    <row r="41" spans="1:7" x14ac:dyDescent="0.35">
      <c r="A41" s="3">
        <v>44316</v>
      </c>
      <c r="B41" s="2">
        <v>33014</v>
      </c>
      <c r="C41" s="2">
        <f t="shared" si="0"/>
        <v>62266.874729796196</v>
      </c>
      <c r="F41" s="3">
        <v>44074</v>
      </c>
      <c r="G41" s="5">
        <f t="shared" si="1"/>
        <v>248631.8040230069</v>
      </c>
    </row>
    <row r="42" spans="1:7" x14ac:dyDescent="0.35">
      <c r="A42" s="3">
        <v>44347</v>
      </c>
      <c r="B42" s="2">
        <v>11690</v>
      </c>
      <c r="C42" s="2">
        <f t="shared" si="0"/>
        <v>60463.539745511182</v>
      </c>
      <c r="F42" s="3">
        <v>44104</v>
      </c>
      <c r="G42" s="5">
        <f t="shared" si="1"/>
        <v>248602.84228716826</v>
      </c>
    </row>
    <row r="43" spans="1:7" x14ac:dyDescent="0.35">
      <c r="A43" s="3">
        <v>44377</v>
      </c>
      <c r="B43" s="2">
        <v>9100</v>
      </c>
      <c r="C43" s="2">
        <f t="shared" si="0"/>
        <v>57456.825658676244</v>
      </c>
      <c r="F43" s="3">
        <v>44135</v>
      </c>
      <c r="G43" s="5">
        <f t="shared" ref="G43:G48" si="2">SUM(C35:C38)</f>
        <v>249284.84634743558</v>
      </c>
    </row>
    <row r="44" spans="1:7" x14ac:dyDescent="0.35">
      <c r="A44" s="3">
        <v>44408</v>
      </c>
      <c r="B44" s="2">
        <v>8510</v>
      </c>
      <c r="C44" s="2">
        <f t="shared" si="0"/>
        <v>54475.800503208739</v>
      </c>
      <c r="F44" s="3">
        <v>44165</v>
      </c>
      <c r="G44" s="5">
        <f t="shared" si="2"/>
        <v>249402.53883420298</v>
      </c>
    </row>
    <row r="45" spans="1:7" x14ac:dyDescent="0.35">
      <c r="A45" s="3">
        <v>44439</v>
      </c>
      <c r="B45" s="2">
        <v>10133</v>
      </c>
      <c r="C45" s="2">
        <f t="shared" si="0"/>
        <v>51642.1734872741</v>
      </c>
      <c r="F45" s="3">
        <v>44196</v>
      </c>
      <c r="G45" s="5">
        <f t="shared" si="2"/>
        <v>250522.25117900787</v>
      </c>
    </row>
    <row r="46" spans="1:7" x14ac:dyDescent="0.35">
      <c r="A46" s="3">
        <v>44469</v>
      </c>
      <c r="B46" s="2">
        <v>10459</v>
      </c>
      <c r="C46" s="2">
        <f t="shared" si="0"/>
        <v>49083.281569478677</v>
      </c>
      <c r="F46" s="3">
        <v>44227</v>
      </c>
      <c r="G46" s="5">
        <f t="shared" si="2"/>
        <v>250333.53600493423</v>
      </c>
    </row>
    <row r="47" spans="1:7" x14ac:dyDescent="0.35">
      <c r="A47" s="3">
        <v>44500</v>
      </c>
      <c r="B47" s="2">
        <v>14893</v>
      </c>
      <c r="C47" s="2">
        <f t="shared" si="0"/>
        <v>46702.232908774924</v>
      </c>
      <c r="F47" s="3">
        <v>44255</v>
      </c>
      <c r="G47" s="5">
        <f t="shared" si="2"/>
        <v>248037.48207154998</v>
      </c>
    </row>
    <row r="48" spans="1:7" x14ac:dyDescent="0.35">
      <c r="A48" s="3">
        <v>44530</v>
      </c>
      <c r="B48" s="2">
        <v>20774</v>
      </c>
      <c r="C48" s="2">
        <f t="shared" si="0"/>
        <v>44741.307596048784</v>
      </c>
      <c r="F48" s="3">
        <v>44286</v>
      </c>
      <c r="G48" s="5">
        <f t="shared" si="2"/>
        <v>242877.58540326168</v>
      </c>
    </row>
    <row r="49" spans="1:7" x14ac:dyDescent="0.35">
      <c r="A49" s="3">
        <v>44561</v>
      </c>
      <c r="B49" s="2">
        <v>32567</v>
      </c>
      <c r="C49" s="2">
        <f t="shared" si="0"/>
        <v>43263.808900064178</v>
      </c>
      <c r="F49" s="3">
        <v>44316</v>
      </c>
      <c r="G49" s="5">
        <f t="shared" ref="G49:G50" si="3">SUM(C41:C44)</f>
        <v>234663.04063719235</v>
      </c>
    </row>
    <row r="50" spans="1:7" x14ac:dyDescent="0.35">
      <c r="A50" s="3">
        <v>44592</v>
      </c>
      <c r="B50" s="2">
        <v>59844</v>
      </c>
      <c r="C50" s="2">
        <f t="shared" si="0"/>
        <v>42604.388932355883</v>
      </c>
      <c r="F50" s="3">
        <v>44347</v>
      </c>
      <c r="G50" s="5">
        <f t="shared" si="3"/>
        <v>224038.33939467027</v>
      </c>
    </row>
    <row r="51" spans="1:7" x14ac:dyDescent="0.35">
      <c r="A51" s="3">
        <v>44620</v>
      </c>
      <c r="B51" s="2">
        <v>21730</v>
      </c>
      <c r="C51" s="2">
        <f t="shared" si="0"/>
        <v>43667.149226546171</v>
      </c>
      <c r="F51" s="3">
        <v>44377</v>
      </c>
      <c r="G51" s="5">
        <f t="shared" ref="G51:G57" si="4">SUM(C43:C46)</f>
        <v>212658.08121863776</v>
      </c>
    </row>
    <row r="52" spans="1:7" x14ac:dyDescent="0.35">
      <c r="A52" s="3">
        <v>44651</v>
      </c>
      <c r="B52" s="2">
        <v>32597</v>
      </c>
      <c r="C52" s="2">
        <f t="shared" si="0"/>
        <v>42314.802524858875</v>
      </c>
      <c r="F52" s="3">
        <v>44408</v>
      </c>
      <c r="G52" s="5">
        <f t="shared" si="4"/>
        <v>201903.48846873644</v>
      </c>
    </row>
    <row r="53" spans="1:7" x14ac:dyDescent="0.35">
      <c r="A53" s="3">
        <v>44681</v>
      </c>
      <c r="B53" s="2">
        <v>25446</v>
      </c>
      <c r="C53" s="2">
        <f t="shared" si="0"/>
        <v>41715.734794752978</v>
      </c>
      <c r="F53" s="3">
        <v>44439</v>
      </c>
      <c r="G53" s="5">
        <f t="shared" si="4"/>
        <v>192168.99556157648</v>
      </c>
    </row>
    <row r="54" spans="1:7" x14ac:dyDescent="0.35">
      <c r="A54" s="3">
        <v>44712</v>
      </c>
      <c r="B54" s="16">
        <v>49191</v>
      </c>
      <c r="C54" s="2">
        <f t="shared" si="0"/>
        <v>40712.763900048652</v>
      </c>
      <c r="F54" s="3">
        <v>44469</v>
      </c>
      <c r="G54" s="5">
        <f t="shared" si="4"/>
        <v>183790.63097436656</v>
      </c>
    </row>
    <row r="55" spans="1:7" x14ac:dyDescent="0.35">
      <c r="A55" s="3">
        <v>44742</v>
      </c>
      <c r="B55" s="2">
        <v>32408</v>
      </c>
      <c r="C55" s="2">
        <f t="shared" si="0"/>
        <v>41235.416798449012</v>
      </c>
      <c r="F55" s="3">
        <v>44500</v>
      </c>
      <c r="G55" s="5">
        <f t="shared" si="4"/>
        <v>177311.73833724376</v>
      </c>
    </row>
    <row r="56" spans="1:7" x14ac:dyDescent="0.35">
      <c r="A56" s="3">
        <v>44773</v>
      </c>
      <c r="B56" s="2">
        <v>28554</v>
      </c>
      <c r="C56" s="2">
        <f t="shared" si="0"/>
        <v>40691.238160262255</v>
      </c>
      <c r="F56" s="3">
        <v>44530</v>
      </c>
      <c r="G56" s="5">
        <f t="shared" si="4"/>
        <v>174276.65465501501</v>
      </c>
    </row>
    <row r="57" spans="1:7" x14ac:dyDescent="0.35">
      <c r="A57" s="3">
        <v>44804</v>
      </c>
      <c r="B57" s="2">
        <v>44473</v>
      </c>
      <c r="C57" s="2">
        <f t="shared" si="0"/>
        <v>39943.020886261962</v>
      </c>
      <c r="F57" s="3">
        <v>44561</v>
      </c>
      <c r="G57" s="5">
        <f t="shared" si="4"/>
        <v>171850.14958382511</v>
      </c>
    </row>
    <row r="58" spans="1:7" x14ac:dyDescent="0.35">
      <c r="A58" s="3">
        <v>44834</v>
      </c>
      <c r="B58" s="2">
        <v>42148</v>
      </c>
      <c r="C58" s="2">
        <f t="shared" si="0"/>
        <v>40222.277878586327</v>
      </c>
      <c r="F58" s="3">
        <v>44592</v>
      </c>
      <c r="G58" s="5">
        <f t="shared" ref="G58:G82" si="5">SUM(C50:C53)</f>
        <v>170302.0754785139</v>
      </c>
    </row>
    <row r="59" spans="1:7" x14ac:dyDescent="0.35">
      <c r="A59" s="3">
        <v>44865</v>
      </c>
      <c r="B59" s="2">
        <v>40341</v>
      </c>
      <c r="C59" s="2">
        <f t="shared" si="0"/>
        <v>40340.991752133246</v>
      </c>
      <c r="F59" s="3">
        <v>44620</v>
      </c>
      <c r="G59" s="5">
        <f t="shared" si="5"/>
        <v>168410.45044620667</v>
      </c>
    </row>
    <row r="60" spans="1:7" x14ac:dyDescent="0.35">
      <c r="A60" s="3">
        <v>44895</v>
      </c>
      <c r="B60" s="2">
        <v>41282</v>
      </c>
      <c r="C60" s="2">
        <f t="shared" si="0"/>
        <v>40340.992260584695</v>
      </c>
      <c r="F60" s="3">
        <v>44651</v>
      </c>
      <c r="G60" s="5">
        <f t="shared" si="5"/>
        <v>165978.7180181095</v>
      </c>
    </row>
    <row r="61" spans="1:7" x14ac:dyDescent="0.35">
      <c r="A61" s="3">
        <v>44926</v>
      </c>
      <c r="B61" s="2">
        <v>40045</v>
      </c>
      <c r="C61" s="2">
        <f t="shared" si="0"/>
        <v>40399.00201834851</v>
      </c>
      <c r="F61" s="3">
        <v>44681</v>
      </c>
      <c r="G61" s="5">
        <f t="shared" si="5"/>
        <v>164355.15365351291</v>
      </c>
    </row>
    <row r="62" spans="1:7" x14ac:dyDescent="0.35">
      <c r="A62" s="3">
        <v>44957</v>
      </c>
      <c r="B62" s="2">
        <v>30805</v>
      </c>
      <c r="C62" s="2">
        <f t="shared" si="0"/>
        <v>40377.179061456518</v>
      </c>
      <c r="F62" s="3">
        <v>44712</v>
      </c>
      <c r="G62" s="5">
        <f t="shared" si="5"/>
        <v>162582.43974502187</v>
      </c>
    </row>
    <row r="63" spans="1:7" x14ac:dyDescent="0.35">
      <c r="A63" s="3">
        <v>44985</v>
      </c>
      <c r="B63" s="2">
        <v>36904</v>
      </c>
      <c r="C63" s="2">
        <f t="shared" si="0"/>
        <v>39787.088496450175</v>
      </c>
      <c r="F63" s="3">
        <v>44742</v>
      </c>
      <c r="G63" s="5">
        <f t="shared" si="5"/>
        <v>162091.95372355956</v>
      </c>
    </row>
    <row r="64" spans="1:7" x14ac:dyDescent="0.35">
      <c r="A64" s="3">
        <v>45016</v>
      </c>
      <c r="B64" s="2">
        <v>47258</v>
      </c>
      <c r="C64" s="2">
        <f t="shared" si="0"/>
        <v>39609.35641382711</v>
      </c>
      <c r="F64" s="3">
        <v>44773</v>
      </c>
      <c r="G64" s="5">
        <f t="shared" si="5"/>
        <v>161197.52867724377</v>
      </c>
    </row>
    <row r="65" spans="1:7" x14ac:dyDescent="0.35">
      <c r="A65" s="3">
        <v>45046</v>
      </c>
      <c r="B65" s="2">
        <v>33977</v>
      </c>
      <c r="C65" s="2">
        <f t="shared" si="0"/>
        <v>40080.867904190949</v>
      </c>
      <c r="F65" s="3">
        <v>44804</v>
      </c>
      <c r="G65" s="5">
        <f t="shared" si="5"/>
        <v>160847.28277756623</v>
      </c>
    </row>
    <row r="66" spans="1:7" x14ac:dyDescent="0.35">
      <c r="A66" s="3">
        <v>45077</v>
      </c>
      <c r="B66" s="2">
        <v>51732</v>
      </c>
      <c r="C66" s="2">
        <f t="shared" si="0"/>
        <v>39704.586303399417</v>
      </c>
      <c r="D66" s="5">
        <f>C66-B66</f>
        <v>-12027.413696600583</v>
      </c>
      <c r="F66" s="3">
        <v>44834</v>
      </c>
      <c r="G66" s="5">
        <f t="shared" si="5"/>
        <v>161303.26390965277</v>
      </c>
    </row>
    <row r="67" spans="1:7" x14ac:dyDescent="0.35">
      <c r="A67" s="3">
        <v>45107</v>
      </c>
      <c r="B67" s="2">
        <v>42493</v>
      </c>
      <c r="C67" s="2">
        <f t="shared" si="0"/>
        <v>40446.033292452303</v>
      </c>
      <c r="D67" s="5">
        <f t="shared" ref="D67:D77" si="6">C67-B67</f>
        <v>-2046.9667075476973</v>
      </c>
      <c r="F67" s="3">
        <v>44865</v>
      </c>
      <c r="G67" s="5">
        <f t="shared" si="5"/>
        <v>161458.16509252298</v>
      </c>
    </row>
    <row r="68" spans="1:7" x14ac:dyDescent="0.35">
      <c r="A68" s="3">
        <v>45138</v>
      </c>
      <c r="B68" s="2">
        <v>33368</v>
      </c>
      <c r="C68" s="2">
        <f t="shared" ref="C68:C82" si="7">($F$1*B67)+((1-$F$1)*C67)</f>
        <v>40572.221460606168</v>
      </c>
      <c r="D68" s="5">
        <f t="shared" si="6"/>
        <v>7204.221460606168</v>
      </c>
      <c r="F68" s="3">
        <v>44895</v>
      </c>
      <c r="G68" s="5">
        <f t="shared" si="5"/>
        <v>160904.2618368399</v>
      </c>
    </row>
    <row r="69" spans="1:7" x14ac:dyDescent="0.35">
      <c r="A69" s="3">
        <v>45169</v>
      </c>
      <c r="B69" s="2">
        <v>52612</v>
      </c>
      <c r="C69" s="2">
        <f t="shared" si="7"/>
        <v>40128.107002986209</v>
      </c>
      <c r="D69" s="5">
        <f t="shared" si="6"/>
        <v>-12483.892997013791</v>
      </c>
      <c r="F69" s="3">
        <v>44926</v>
      </c>
      <c r="G69" s="5">
        <f t="shared" si="5"/>
        <v>160172.62599008231</v>
      </c>
    </row>
    <row r="70" spans="1:7" x14ac:dyDescent="0.35">
      <c r="A70" s="3">
        <v>45199</v>
      </c>
      <c r="B70" s="2">
        <v>52467</v>
      </c>
      <c r="C70" s="2">
        <f t="shared" si="7"/>
        <v>40897.69430644036</v>
      </c>
      <c r="D70" s="5">
        <f t="shared" si="6"/>
        <v>-11569.30569355964</v>
      </c>
      <c r="F70" s="3">
        <v>44957</v>
      </c>
      <c r="G70" s="5">
        <f t="shared" si="5"/>
        <v>159854.49187592475</v>
      </c>
    </row>
    <row r="71" spans="1:7" x14ac:dyDescent="0.35">
      <c r="A71" s="3">
        <v>45230</v>
      </c>
      <c r="B71" s="2">
        <v>42235</v>
      </c>
      <c r="C71" s="2">
        <f t="shared" si="7"/>
        <v>41610.900577406719</v>
      </c>
      <c r="D71" s="5">
        <f t="shared" si="6"/>
        <v>-624.09942259328091</v>
      </c>
      <c r="F71" s="3">
        <v>44985</v>
      </c>
      <c r="G71" s="5">
        <f t="shared" si="5"/>
        <v>159181.89911786767</v>
      </c>
    </row>
    <row r="72" spans="1:7" x14ac:dyDescent="0.35">
      <c r="A72" s="3">
        <v>45260</v>
      </c>
      <c r="B72" s="2">
        <v>59404</v>
      </c>
      <c r="C72" s="2">
        <f t="shared" si="7"/>
        <v>41649.374072159982</v>
      </c>
      <c r="D72" s="5">
        <f t="shared" si="6"/>
        <v>-17754.625927840018</v>
      </c>
      <c r="F72" s="3">
        <v>45016</v>
      </c>
      <c r="G72" s="5">
        <f t="shared" si="5"/>
        <v>159840.84391386979</v>
      </c>
    </row>
    <row r="73" spans="1:7" x14ac:dyDescent="0.35">
      <c r="A73" s="3">
        <v>45291</v>
      </c>
      <c r="B73" s="2">
        <v>52434</v>
      </c>
      <c r="C73" s="2">
        <f t="shared" si="7"/>
        <v>42743.883188419779</v>
      </c>
      <c r="D73" s="5">
        <f t="shared" si="6"/>
        <v>-9690.1168115802211</v>
      </c>
      <c r="F73" s="3">
        <v>45046</v>
      </c>
      <c r="G73" s="5">
        <f t="shared" si="5"/>
        <v>160803.70896064886</v>
      </c>
    </row>
    <row r="74" spans="1:7" x14ac:dyDescent="0.35">
      <c r="A74" s="3">
        <v>45322</v>
      </c>
      <c r="B74" s="2">
        <v>52855</v>
      </c>
      <c r="C74" s="2">
        <f t="shared" si="7"/>
        <v>43341.244193433486</v>
      </c>
      <c r="D74" s="5">
        <f t="shared" si="6"/>
        <v>-9513.7558065665144</v>
      </c>
      <c r="F74" s="3">
        <v>45077</v>
      </c>
      <c r="G74" s="5">
        <f t="shared" si="5"/>
        <v>160850.94805944411</v>
      </c>
    </row>
    <row r="75" spans="1:7" x14ac:dyDescent="0.35">
      <c r="A75" s="3">
        <v>45351</v>
      </c>
      <c r="B75" s="2">
        <v>45697</v>
      </c>
      <c r="C75" s="2">
        <f t="shared" si="7"/>
        <v>43927.733173966095</v>
      </c>
      <c r="D75" s="5">
        <f t="shared" si="6"/>
        <v>-1769.2668260339051</v>
      </c>
      <c r="F75" s="3">
        <v>45107</v>
      </c>
      <c r="G75" s="5">
        <f t="shared" si="5"/>
        <v>162044.05606248503</v>
      </c>
    </row>
    <row r="76" spans="1:7" x14ac:dyDescent="0.35">
      <c r="A76" s="3">
        <v>45382</v>
      </c>
      <c r="B76" s="19">
        <v>42815</v>
      </c>
      <c r="C76" s="2">
        <f t="shared" si="7"/>
        <v>44036.802138756488</v>
      </c>
      <c r="D76" s="5">
        <f t="shared" si="6"/>
        <v>1221.8021387564877</v>
      </c>
      <c r="F76" s="3">
        <v>45138</v>
      </c>
      <c r="G76" s="5">
        <f t="shared" si="5"/>
        <v>163208.92334743944</v>
      </c>
    </row>
    <row r="77" spans="1:7" x14ac:dyDescent="0.35">
      <c r="A77" s="3">
        <v>45412</v>
      </c>
      <c r="B77" s="19">
        <v>35800</v>
      </c>
      <c r="C77" s="2">
        <f>($F$1*B76)+((1-$F$1)*C76)</f>
        <v>43961.482411685371</v>
      </c>
      <c r="D77" s="5">
        <f t="shared" si="6"/>
        <v>8161.4824116853706</v>
      </c>
      <c r="F77" s="3">
        <v>45169</v>
      </c>
      <c r="G77" s="5">
        <f t="shared" si="5"/>
        <v>164286.07595899329</v>
      </c>
    </row>
    <row r="78" spans="1:7" x14ac:dyDescent="0.35">
      <c r="A78" s="3">
        <v>45443</v>
      </c>
      <c r="C78" s="2">
        <f t="shared" si="7"/>
        <v>43458.356243998751</v>
      </c>
      <c r="F78" s="3">
        <v>45199</v>
      </c>
      <c r="G78" s="5">
        <f t="shared" si="5"/>
        <v>166901.85214442684</v>
      </c>
    </row>
    <row r="79" spans="1:7" x14ac:dyDescent="0.35">
      <c r="A79" s="3">
        <v>45473</v>
      </c>
      <c r="C79" s="2">
        <f t="shared" si="7"/>
        <v>40779.304188492606</v>
      </c>
      <c r="F79" s="3">
        <v>45230</v>
      </c>
      <c r="G79" s="5">
        <f t="shared" si="5"/>
        <v>169345.40203141997</v>
      </c>
    </row>
    <row r="80" spans="1:7" x14ac:dyDescent="0.35">
      <c r="C80" s="2">
        <f t="shared" si="7"/>
        <v>38265.406099597953</v>
      </c>
      <c r="F80" s="3">
        <v>45260</v>
      </c>
      <c r="G80" s="5">
        <f t="shared" si="5"/>
        <v>171662.23462797934</v>
      </c>
    </row>
    <row r="81" spans="3:7" x14ac:dyDescent="0.35">
      <c r="C81" s="2">
        <f t="shared" si="7"/>
        <v>35906.480826623279</v>
      </c>
      <c r="F81" s="3">
        <v>45291</v>
      </c>
      <c r="G81" s="5">
        <f t="shared" si="5"/>
        <v>174049.66269457585</v>
      </c>
    </row>
    <row r="82" spans="3:7" x14ac:dyDescent="0.35">
      <c r="C82" s="2">
        <f t="shared" si="7"/>
        <v>33692.974850362596</v>
      </c>
      <c r="F82" s="3">
        <v>45322</v>
      </c>
      <c r="G82" s="5">
        <f t="shared" si="5"/>
        <v>175267.26191784145</v>
      </c>
    </row>
    <row r="83" spans="3:7" x14ac:dyDescent="0.35">
      <c r="F83" s="3">
        <v>45351</v>
      </c>
      <c r="G83" s="5">
        <f>SUM(C75:C78)</f>
        <v>175384.3739684067</v>
      </c>
    </row>
    <row r="84" spans="3:7" x14ac:dyDescent="0.35">
      <c r="F84" s="3">
        <v>45382</v>
      </c>
      <c r="G84" s="5">
        <f>SUM(C76:C79)</f>
        <v>172235.94498293323</v>
      </c>
    </row>
    <row r="85" spans="3:7" x14ac:dyDescent="0.35">
      <c r="F85" s="3">
        <v>45412</v>
      </c>
      <c r="G85" s="5">
        <f>SUM(C77:C80)</f>
        <v>166464.54894377466</v>
      </c>
    </row>
    <row r="86" spans="3:7" x14ac:dyDescent="0.35">
      <c r="F86" s="3" t="s">
        <v>35</v>
      </c>
      <c r="G86" s="5">
        <f>SUM(C78:C81)</f>
        <v>158409.54735871259</v>
      </c>
    </row>
  </sheetData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C59F-A4E5-4BBE-8C9F-25790D9058AF}">
  <sheetPr>
    <tabColor rgb="FF92D050"/>
  </sheetPr>
  <dimension ref="A1:L87"/>
  <sheetViews>
    <sheetView topLeftCell="D73" workbookViewId="0">
      <selection activeCell="J83" sqref="J83"/>
    </sheetView>
  </sheetViews>
  <sheetFormatPr defaultRowHeight="14.5" x14ac:dyDescent="0.35"/>
  <cols>
    <col min="2" max="2" width="10.453125" bestFit="1" customWidth="1"/>
    <col min="5" max="5" width="11" customWidth="1"/>
    <col min="7" max="7" width="11.81640625" customWidth="1"/>
    <col min="8" max="8" width="12.453125" customWidth="1"/>
    <col min="9" max="9" width="10.08984375" customWidth="1"/>
    <col min="10" max="10" width="13.6328125" bestFit="1" customWidth="1"/>
    <col min="12" max="12" width="10.08984375" bestFit="1" customWidth="1"/>
  </cols>
  <sheetData>
    <row r="1" spans="1:11" x14ac:dyDescent="0.35">
      <c r="A1" s="24" t="s">
        <v>42</v>
      </c>
      <c r="E1" t="s">
        <v>43</v>
      </c>
    </row>
    <row r="2" spans="1:11" ht="15" thickBot="1" x14ac:dyDescent="0.4"/>
    <row r="3" spans="1:11" ht="15" thickTop="1" x14ac:dyDescent="0.35">
      <c r="A3" s="25" t="s">
        <v>44</v>
      </c>
      <c r="B3" s="25" t="s">
        <v>45</v>
      </c>
      <c r="C3" s="25" t="s">
        <v>46</v>
      </c>
      <c r="E3" s="26" t="str">
        <f>B3</f>
        <v>qtr</v>
      </c>
      <c r="F3" s="26" t="s">
        <v>76</v>
      </c>
      <c r="G3" s="26" t="s">
        <v>47</v>
      </c>
      <c r="H3" s="26" t="s">
        <v>48</v>
      </c>
      <c r="I3" s="26" t="s">
        <v>49</v>
      </c>
      <c r="J3" s="26" t="s">
        <v>50</v>
      </c>
    </row>
    <row r="4" spans="1:11" x14ac:dyDescent="0.35">
      <c r="A4" s="27">
        <v>1</v>
      </c>
      <c r="B4" s="3">
        <v>43131</v>
      </c>
      <c r="C4" s="34">
        <v>34890</v>
      </c>
      <c r="E4" s="3">
        <f>B4</f>
        <v>43131</v>
      </c>
      <c r="F4" s="27">
        <f>C4</f>
        <v>34890</v>
      </c>
      <c r="I4" s="35">
        <f>F4-AVERAGE($F$4:$F$15)</f>
        <v>-7116.0833333333358</v>
      </c>
    </row>
    <row r="5" spans="1:11" x14ac:dyDescent="0.35">
      <c r="A5" s="27">
        <f>A4+1</f>
        <v>2</v>
      </c>
      <c r="B5" s="3">
        <v>43159</v>
      </c>
      <c r="C5" s="34">
        <v>25830</v>
      </c>
      <c r="E5" s="3">
        <f t="shared" ref="E5:F20" si="0">B5</f>
        <v>43159</v>
      </c>
      <c r="F5" s="27">
        <f t="shared" si="0"/>
        <v>25830</v>
      </c>
      <c r="I5" s="35">
        <f t="shared" ref="I5:I15" si="1">F5-AVERAGE($F$4:$F$15)</f>
        <v>-16176.083333333336</v>
      </c>
    </row>
    <row r="6" spans="1:11" x14ac:dyDescent="0.35">
      <c r="A6" s="27">
        <f t="shared" ref="A6:A69" si="2">A5+1</f>
        <v>3</v>
      </c>
      <c r="B6" s="3">
        <v>43190</v>
      </c>
      <c r="C6" s="34">
        <v>41054</v>
      </c>
      <c r="E6" s="3">
        <f t="shared" si="0"/>
        <v>43190</v>
      </c>
      <c r="F6" s="27">
        <f t="shared" si="0"/>
        <v>41054</v>
      </c>
      <c r="I6" s="35">
        <f t="shared" si="1"/>
        <v>-952.08333333333576</v>
      </c>
    </row>
    <row r="7" spans="1:11" x14ac:dyDescent="0.35">
      <c r="A7" s="27">
        <f t="shared" si="2"/>
        <v>4</v>
      </c>
      <c r="B7" s="3">
        <v>43220</v>
      </c>
      <c r="C7" s="34">
        <v>36838</v>
      </c>
      <c r="E7" s="3">
        <f t="shared" si="0"/>
        <v>43220</v>
      </c>
      <c r="F7" s="27">
        <f t="shared" si="0"/>
        <v>36838</v>
      </c>
      <c r="I7" s="35">
        <f t="shared" si="1"/>
        <v>-5168.0833333333358</v>
      </c>
    </row>
    <row r="8" spans="1:11" x14ac:dyDescent="0.35">
      <c r="A8" s="27">
        <f t="shared" si="2"/>
        <v>5</v>
      </c>
      <c r="B8" s="3">
        <v>43251</v>
      </c>
      <c r="C8" s="34">
        <v>56808</v>
      </c>
      <c r="E8" s="3">
        <f t="shared" si="0"/>
        <v>43251</v>
      </c>
      <c r="F8" s="27">
        <f t="shared" si="0"/>
        <v>56808</v>
      </c>
      <c r="I8" s="35">
        <f t="shared" si="1"/>
        <v>14801.916666666664</v>
      </c>
    </row>
    <row r="9" spans="1:11" x14ac:dyDescent="0.35">
      <c r="A9" s="27">
        <f t="shared" si="2"/>
        <v>6</v>
      </c>
      <c r="B9" s="3">
        <v>43281</v>
      </c>
      <c r="C9" s="34">
        <v>34939</v>
      </c>
      <c r="E9" s="3">
        <f t="shared" si="0"/>
        <v>43281</v>
      </c>
      <c r="F9" s="27">
        <f t="shared" si="0"/>
        <v>34939</v>
      </c>
      <c r="I9" s="35">
        <f t="shared" si="1"/>
        <v>-7067.0833333333358</v>
      </c>
    </row>
    <row r="10" spans="1:11" x14ac:dyDescent="0.35">
      <c r="A10" s="27">
        <f t="shared" si="2"/>
        <v>7</v>
      </c>
      <c r="B10" s="3">
        <v>43312</v>
      </c>
      <c r="C10" s="34">
        <v>41853</v>
      </c>
      <c r="E10" s="3">
        <f t="shared" si="0"/>
        <v>43312</v>
      </c>
      <c r="F10" s="27">
        <f t="shared" si="0"/>
        <v>41853</v>
      </c>
      <c r="I10" s="35">
        <f t="shared" si="1"/>
        <v>-153.08333333333576</v>
      </c>
    </row>
    <row r="11" spans="1:11" x14ac:dyDescent="0.35">
      <c r="A11" s="27">
        <f t="shared" si="2"/>
        <v>8</v>
      </c>
      <c r="B11" s="3">
        <v>43343</v>
      </c>
      <c r="C11" s="34">
        <v>58036</v>
      </c>
      <c r="E11" s="3">
        <f t="shared" si="0"/>
        <v>43343</v>
      </c>
      <c r="F11" s="27">
        <f t="shared" si="0"/>
        <v>58036</v>
      </c>
      <c r="I11" s="35">
        <f t="shared" si="1"/>
        <v>16029.916666666664</v>
      </c>
    </row>
    <row r="12" spans="1:11" x14ac:dyDescent="0.35">
      <c r="A12" s="27">
        <f t="shared" si="2"/>
        <v>9</v>
      </c>
      <c r="B12" s="3">
        <v>43373</v>
      </c>
      <c r="C12" s="34">
        <v>42879</v>
      </c>
      <c r="E12" s="3">
        <f t="shared" si="0"/>
        <v>43373</v>
      </c>
      <c r="F12" s="27">
        <f t="shared" si="0"/>
        <v>42879</v>
      </c>
      <c r="I12" s="35">
        <f t="shared" si="1"/>
        <v>872.91666666666424</v>
      </c>
    </row>
    <row r="13" spans="1:11" x14ac:dyDescent="0.35">
      <c r="A13" s="27">
        <f t="shared" si="2"/>
        <v>10</v>
      </c>
      <c r="B13" s="3">
        <v>43404</v>
      </c>
      <c r="C13" s="34">
        <v>54081</v>
      </c>
      <c r="E13" s="3">
        <f t="shared" si="0"/>
        <v>43404</v>
      </c>
      <c r="F13" s="27">
        <f t="shared" si="0"/>
        <v>54081</v>
      </c>
      <c r="I13" s="35">
        <f t="shared" si="1"/>
        <v>12074.916666666664</v>
      </c>
    </row>
    <row r="14" spans="1:11" x14ac:dyDescent="0.35">
      <c r="A14" s="27">
        <f t="shared" si="2"/>
        <v>11</v>
      </c>
      <c r="B14" s="3">
        <v>43434</v>
      </c>
      <c r="C14" s="34">
        <v>31764</v>
      </c>
      <c r="E14" s="3">
        <f t="shared" si="0"/>
        <v>43434</v>
      </c>
      <c r="F14" s="27">
        <f t="shared" si="0"/>
        <v>31764</v>
      </c>
      <c r="I14" s="35">
        <f t="shared" si="1"/>
        <v>-10242.083333333336</v>
      </c>
    </row>
    <row r="15" spans="1:11" x14ac:dyDescent="0.35">
      <c r="A15" s="27">
        <f t="shared" si="2"/>
        <v>12</v>
      </c>
      <c r="B15" s="3">
        <v>43465</v>
      </c>
      <c r="C15" s="34">
        <v>45101</v>
      </c>
      <c r="E15" s="3">
        <f t="shared" si="0"/>
        <v>43465</v>
      </c>
      <c r="F15" s="27">
        <f t="shared" si="0"/>
        <v>45101</v>
      </c>
      <c r="G15" s="35">
        <f>F15-I15</f>
        <v>42006.083333333336</v>
      </c>
      <c r="H15" s="36">
        <f>(AVERAGE(F16:F27)-AVERAGE(F4:F15))/12</f>
        <v>3906.0208333333326</v>
      </c>
      <c r="I15" s="35">
        <f t="shared" si="1"/>
        <v>3094.9166666666642</v>
      </c>
    </row>
    <row r="16" spans="1:11" x14ac:dyDescent="0.35">
      <c r="A16" s="27">
        <f t="shared" si="2"/>
        <v>13</v>
      </c>
      <c r="B16" s="3">
        <v>43496</v>
      </c>
      <c r="C16" s="34">
        <v>61974</v>
      </c>
      <c r="E16" s="3">
        <f t="shared" si="0"/>
        <v>43496</v>
      </c>
      <c r="F16" s="27">
        <f t="shared" si="0"/>
        <v>61974</v>
      </c>
      <c r="G16" s="37">
        <f>$F$83*(F16-I4)+(1-$F$83)*(G15+H15)</f>
        <v>47330.107296779985</v>
      </c>
      <c r="H16" s="38">
        <f>$G$83*(G16-G15)+(1-$G$83)*H15</f>
        <v>5324.0239634466488</v>
      </c>
      <c r="I16" s="37">
        <f>$H$83*(F16-G16)+(1-$H$83)*I4</f>
        <v>-5932.0294894420003</v>
      </c>
      <c r="J16" s="37">
        <f>G15+H15+I4</f>
        <v>38796.020833333336</v>
      </c>
      <c r="K16" s="19">
        <f>J20-F20</f>
        <v>-34574.710823526286</v>
      </c>
    </row>
    <row r="17" spans="1:11" x14ac:dyDescent="0.35">
      <c r="A17" s="27">
        <f t="shared" si="2"/>
        <v>14</v>
      </c>
      <c r="B17" s="3">
        <v>43524</v>
      </c>
      <c r="C17" s="34">
        <v>37927</v>
      </c>
      <c r="E17" s="3">
        <f t="shared" si="0"/>
        <v>43524</v>
      </c>
      <c r="F17" s="27">
        <f t="shared" si="0"/>
        <v>37927</v>
      </c>
      <c r="G17" s="37">
        <f>$F$83*(F17-I5)+(1-$F$83)*(G16+H16)</f>
        <v>52742.776545489651</v>
      </c>
      <c r="H17" s="38">
        <f>$G$83*(G17-G16)+(1-$G$83)*H16</f>
        <v>5412.6692487096661</v>
      </c>
      <c r="I17" s="37">
        <f>$H$83*(F17-G17)+(1-$H$83)*I5</f>
        <v>-16102.063192947515</v>
      </c>
      <c r="J17" s="37">
        <f t="shared" ref="J17:J79" si="3">G16+H16+I5</f>
        <v>36478.047926893298</v>
      </c>
      <c r="K17" s="19">
        <f>J21-F21</f>
        <v>-7001.4907132537337</v>
      </c>
    </row>
    <row r="18" spans="1:11" x14ac:dyDescent="0.35">
      <c r="A18" s="27">
        <f t="shared" si="2"/>
        <v>15</v>
      </c>
      <c r="B18" s="3">
        <v>43555</v>
      </c>
      <c r="C18" s="34">
        <v>59679</v>
      </c>
      <c r="E18" s="3">
        <f t="shared" si="0"/>
        <v>43555</v>
      </c>
      <c r="F18" s="27">
        <f t="shared" si="0"/>
        <v>59679</v>
      </c>
      <c r="G18" s="37">
        <f>$F$83*(F18-I6)+(1-$F$83)*(G17+H17)</f>
        <v>58306.902560739458</v>
      </c>
      <c r="H18" s="38">
        <f>$G$83*(G18-G17)+(1-$G$83)*H17</f>
        <v>5564.1260152498071</v>
      </c>
      <c r="I18" s="37">
        <f>$H$83*(F18-G18)+(1-$H$83)*I6</f>
        <v>-825.61466567187972</v>
      </c>
      <c r="J18" s="37">
        <f t="shared" si="3"/>
        <v>57203.362460865981</v>
      </c>
      <c r="K18" s="19">
        <f>J22-F22</f>
        <v>-22538.826254751213</v>
      </c>
    </row>
    <row r="19" spans="1:11" x14ac:dyDescent="0.35">
      <c r="A19" s="27">
        <f t="shared" si="2"/>
        <v>16</v>
      </c>
      <c r="B19" s="3">
        <v>43585</v>
      </c>
      <c r="C19" s="34">
        <v>56163</v>
      </c>
      <c r="E19" s="3">
        <f t="shared" si="0"/>
        <v>43585</v>
      </c>
      <c r="F19" s="27">
        <f t="shared" si="0"/>
        <v>56163</v>
      </c>
      <c r="G19" s="37">
        <f>$F$83*(F19-I7)+(1-$F$83)*(G18+H18)</f>
        <v>63715.63753527325</v>
      </c>
      <c r="H19" s="38">
        <f>$G$83*(G19-G18)+(1-$G$83)*H18</f>
        <v>5408.7349745337924</v>
      </c>
      <c r="I19" s="37">
        <f>$H$83*(F19-G19)+(1-$H$83)*I7</f>
        <v>-5297.8371788353379</v>
      </c>
      <c r="J19" s="37">
        <f t="shared" si="3"/>
        <v>58702.945242655929</v>
      </c>
      <c r="K19" s="19">
        <f>J23-F23</f>
        <v>-2890.704330542183</v>
      </c>
    </row>
    <row r="20" spans="1:11" x14ac:dyDescent="0.35">
      <c r="A20" s="27">
        <f t="shared" si="2"/>
        <v>17</v>
      </c>
      <c r="B20" s="3">
        <v>43616</v>
      </c>
      <c r="C20" s="34">
        <v>118501</v>
      </c>
      <c r="E20" s="3">
        <f t="shared" si="0"/>
        <v>43616</v>
      </c>
      <c r="F20" s="39">
        <f t="shared" si="0"/>
        <v>118501</v>
      </c>
      <c r="G20" s="37">
        <f>$F$83*(F20-I8)+(1-$F$83)*(G19+H19)</f>
        <v>71239.615077676426</v>
      </c>
      <c r="H20" s="38">
        <f>$G$83*(G20-G19)+(1-$G$83)*H19</f>
        <v>7523.9775424031759</v>
      </c>
      <c r="I20" s="37">
        <f>$H$83*(F20-G20)+(1-$H$83)*I8</f>
        <v>16568.1758801059</v>
      </c>
      <c r="J20" s="37">
        <f t="shared" si="3"/>
        <v>83926.289176473714</v>
      </c>
      <c r="K20" s="19">
        <f>J24-F24</f>
        <v>-7022.7826806783851</v>
      </c>
    </row>
    <row r="21" spans="1:11" x14ac:dyDescent="0.35">
      <c r="A21" s="27">
        <f t="shared" si="2"/>
        <v>18</v>
      </c>
      <c r="B21" s="3">
        <v>43646</v>
      </c>
      <c r="C21" s="34">
        <v>78698</v>
      </c>
      <c r="E21" s="3">
        <f t="shared" ref="E21:F36" si="4">B21</f>
        <v>43646</v>
      </c>
      <c r="F21" s="39">
        <f t="shared" si="4"/>
        <v>78698</v>
      </c>
      <c r="G21" s="37">
        <f>$F$83*(F21-I9)+(1-$F$83)*(G20+H20)</f>
        <v>79191.936078129278</v>
      </c>
      <c r="H21" s="38">
        <f>$G$83*(G21-G20)+(1-$G$83)*H20</f>
        <v>7952.3210004528519</v>
      </c>
      <c r="I21" s="37">
        <f>$H$83*(F21-G21)+(1-$H$83)*I9</f>
        <v>-6709.4101327326553</v>
      </c>
      <c r="J21" s="37">
        <f t="shared" si="3"/>
        <v>71696.509286746266</v>
      </c>
      <c r="K21" s="19">
        <f t="shared" ref="K21:K79" si="5">J21-F21</f>
        <v>-7001.4907132537337</v>
      </c>
    </row>
    <row r="22" spans="1:11" x14ac:dyDescent="0.35">
      <c r="A22" s="27">
        <f t="shared" si="2"/>
        <v>19</v>
      </c>
      <c r="B22" s="3">
        <v>43677</v>
      </c>
      <c r="C22" s="34">
        <v>109530</v>
      </c>
      <c r="E22" s="3">
        <f t="shared" si="4"/>
        <v>43677</v>
      </c>
      <c r="F22" s="39">
        <f t="shared" si="4"/>
        <v>109530</v>
      </c>
      <c r="G22" s="37">
        <f>$F$83*(F22-I10)+(1-$F$83)*(G21+H21)</f>
        <v>88523.157540460219</v>
      </c>
      <c r="H22" s="38">
        <f>$G$83*(G22-G21)+(1-$G$83)*H21</f>
        <v>9331.221462330941</v>
      </c>
      <c r="I22" s="37">
        <f>$H$83*(F22-G22)+(1-$H$83)*I10</f>
        <v>998.31919713908792</v>
      </c>
      <c r="J22" s="37">
        <f t="shared" si="3"/>
        <v>86991.173745248787</v>
      </c>
      <c r="K22" s="19">
        <f t="shared" si="5"/>
        <v>-22538.826254751213</v>
      </c>
    </row>
    <row r="23" spans="1:11" x14ac:dyDescent="0.35">
      <c r="A23" s="27">
        <f t="shared" si="2"/>
        <v>20</v>
      </c>
      <c r="B23" s="3">
        <v>43708</v>
      </c>
      <c r="C23" s="34">
        <v>116775</v>
      </c>
      <c r="E23" s="3">
        <f t="shared" si="4"/>
        <v>43708</v>
      </c>
      <c r="F23" s="39">
        <f t="shared" si="4"/>
        <v>116775</v>
      </c>
      <c r="G23" s="37">
        <f>$F$83*(F23-I11)+(1-$F$83)*(G22+H22)</f>
        <v>98031.229096557581</v>
      </c>
      <c r="H23" s="38">
        <f>$G$83*(G23-G22)+(1-$G$83)*H22</f>
        <v>9508.0715560973622</v>
      </c>
      <c r="I23" s="37">
        <f>$H$83*(F23-G23)+(1-$H$83)*I11</f>
        <v>16177.589142749232</v>
      </c>
      <c r="J23" s="37">
        <f t="shared" si="3"/>
        <v>113884.29566945782</v>
      </c>
      <c r="K23" s="19">
        <f t="shared" si="5"/>
        <v>-2890.704330542183</v>
      </c>
    </row>
    <row r="24" spans="1:11" x14ac:dyDescent="0.35">
      <c r="A24" s="27">
        <f t="shared" si="2"/>
        <v>21</v>
      </c>
      <c r="B24" s="3">
        <v>43738</v>
      </c>
      <c r="C24" s="34">
        <v>115435</v>
      </c>
      <c r="E24" s="3">
        <f t="shared" si="4"/>
        <v>43738</v>
      </c>
      <c r="F24" s="39">
        <f t="shared" si="4"/>
        <v>115435</v>
      </c>
      <c r="G24" s="37">
        <f>$F$83*(F24-I12)+(1-$F$83)*(G23+H23)</f>
        <v>107968.94672972232</v>
      </c>
      <c r="H24" s="38">
        <f>$G$83*(G24-G23)+(1-$G$83)*H23</f>
        <v>9937.7176331647352</v>
      </c>
      <c r="I24" s="37">
        <f>$H$83*(F24-G24)+(1-$H$83)*I12</f>
        <v>1231.6775736498512</v>
      </c>
      <c r="J24" s="37">
        <f t="shared" si="3"/>
        <v>108412.21731932161</v>
      </c>
      <c r="K24" s="19">
        <f t="shared" si="5"/>
        <v>-7022.7826806783851</v>
      </c>
    </row>
    <row r="25" spans="1:11" x14ac:dyDescent="0.35">
      <c r="A25" s="27">
        <f t="shared" si="2"/>
        <v>22</v>
      </c>
      <c r="B25" s="3">
        <v>43769</v>
      </c>
      <c r="C25" s="34">
        <v>100006</v>
      </c>
      <c r="E25" s="3">
        <f t="shared" si="4"/>
        <v>43769</v>
      </c>
      <c r="F25" s="39">
        <f t="shared" si="4"/>
        <v>100006</v>
      </c>
      <c r="G25" s="37">
        <f>$F$83*(F25-I13)+(1-$F$83)*(G24+H24)</f>
        <v>116072.7914690844</v>
      </c>
      <c r="H25" s="38">
        <f>$G$83*(G25-G24)+(1-$G$83)*H24</f>
        <v>8103.8447393620881</v>
      </c>
      <c r="I25" s="37">
        <f>$H$83*(F25-G25)+(1-$H$83)*I13</f>
        <v>10543.605343720834</v>
      </c>
      <c r="J25" s="37">
        <f t="shared" si="3"/>
        <v>129981.58102955372</v>
      </c>
      <c r="K25" s="19">
        <f t="shared" si="5"/>
        <v>29975.581029553723</v>
      </c>
    </row>
    <row r="26" spans="1:11" x14ac:dyDescent="0.35">
      <c r="A26" s="27">
        <f t="shared" si="2"/>
        <v>23</v>
      </c>
      <c r="B26" s="3">
        <v>43799</v>
      </c>
      <c r="C26" s="34">
        <v>105375</v>
      </c>
      <c r="E26" s="3">
        <f t="shared" si="4"/>
        <v>43799</v>
      </c>
      <c r="F26" s="39">
        <f t="shared" si="4"/>
        <v>105375</v>
      </c>
      <c r="G26" s="37">
        <f>$F$83*(F26-I14)+(1-$F$83)*(G25+H25)</f>
        <v>123652.97223058184</v>
      </c>
      <c r="H26" s="38">
        <f>$G$83*(G26-G25)+(1-$G$83)*H25</f>
        <v>7580.1807614974387</v>
      </c>
      <c r="I26" s="37">
        <f>$H$83*(F26-G26)+(1-$H$83)*I14</f>
        <v>-10679.350595111899</v>
      </c>
      <c r="J26" s="37">
        <f t="shared" si="3"/>
        <v>113934.55287511315</v>
      </c>
      <c r="K26" s="19">
        <f t="shared" si="5"/>
        <v>8559.5528751131496</v>
      </c>
    </row>
    <row r="27" spans="1:11" x14ac:dyDescent="0.35">
      <c r="A27" s="27">
        <f t="shared" si="2"/>
        <v>24</v>
      </c>
      <c r="B27" s="3">
        <v>43830</v>
      </c>
      <c r="C27" s="34">
        <v>106477</v>
      </c>
      <c r="E27" s="3">
        <f t="shared" si="4"/>
        <v>43830</v>
      </c>
      <c r="F27" s="39">
        <f t="shared" si="4"/>
        <v>106477</v>
      </c>
      <c r="G27" s="37">
        <f>$F$83*(F27-I15)+(1-$F$83)*(G26+H26)</f>
        <v>129529.25535419105</v>
      </c>
      <c r="H27" s="38">
        <f>$G$83*(G27-G26)+(1-$G$83)*H26</f>
        <v>5876.2831236092024</v>
      </c>
      <c r="I27" s="37">
        <f>$H$83*(F27-G27)+(1-$H$83)*I15</f>
        <v>1672.1366283900979</v>
      </c>
      <c r="J27" s="37">
        <f t="shared" si="3"/>
        <v>134328.06965874592</v>
      </c>
      <c r="K27" s="19">
        <f t="shared" si="5"/>
        <v>27851.069658745924</v>
      </c>
    </row>
    <row r="28" spans="1:11" x14ac:dyDescent="0.35">
      <c r="A28" s="27">
        <f t="shared" si="2"/>
        <v>25</v>
      </c>
      <c r="B28" s="3">
        <v>43861</v>
      </c>
      <c r="C28" s="34">
        <v>82087</v>
      </c>
      <c r="E28" s="3">
        <f t="shared" si="4"/>
        <v>43861</v>
      </c>
      <c r="F28" s="39">
        <f t="shared" si="4"/>
        <v>82087</v>
      </c>
      <c r="G28" s="40">
        <f>$F$83*(F28-I16)+(1-$F$83)*(G27+H27)</f>
        <v>132506.48426830862</v>
      </c>
      <c r="H28">
        <f>$G$83*(G28-G27)+(1-$G$83)*H27</f>
        <v>2977.2289141175715</v>
      </c>
      <c r="I28" s="40">
        <f>$H$83*(F28-G28)+(1-$H$83)*I16</f>
        <v>-8352.7831588105837</v>
      </c>
      <c r="J28" s="40">
        <f t="shared" si="3"/>
        <v>129473.50898835826</v>
      </c>
      <c r="K28" s="19">
        <f t="shared" si="5"/>
        <v>47386.508988358255</v>
      </c>
    </row>
    <row r="29" spans="1:11" x14ac:dyDescent="0.35">
      <c r="A29" s="27">
        <f t="shared" si="2"/>
        <v>26</v>
      </c>
      <c r="B29" s="3">
        <v>43890</v>
      </c>
      <c r="C29" s="34">
        <v>90055</v>
      </c>
      <c r="E29" s="3">
        <f t="shared" si="4"/>
        <v>43890</v>
      </c>
      <c r="F29" s="39">
        <f t="shared" si="4"/>
        <v>90055</v>
      </c>
      <c r="G29" s="40">
        <f>$F$83*(F29-I17)+(1-$F$83)*(G28+H28)</f>
        <v>133689.54117192476</v>
      </c>
      <c r="H29">
        <f>$G$83*(G29-G28)+(1-$G$83)*H28</f>
        <v>1183.0569036161469</v>
      </c>
      <c r="I29" s="40">
        <f>$H$83*(F29-G29)+(1-$H$83)*I17</f>
        <v>-17600.223683937889</v>
      </c>
      <c r="J29" s="40">
        <f t="shared" si="3"/>
        <v>119381.64998947865</v>
      </c>
      <c r="K29" s="19">
        <f t="shared" si="5"/>
        <v>29326.649989478654</v>
      </c>
    </row>
    <row r="30" spans="1:11" x14ac:dyDescent="0.35">
      <c r="A30" s="27">
        <f t="shared" si="2"/>
        <v>27</v>
      </c>
      <c r="B30" s="3">
        <v>43921</v>
      </c>
      <c r="C30" s="34">
        <v>77921</v>
      </c>
      <c r="E30" s="3">
        <f t="shared" si="4"/>
        <v>43921</v>
      </c>
      <c r="F30" s="39">
        <f t="shared" si="4"/>
        <v>77921</v>
      </c>
      <c r="G30" s="40">
        <f>$F$83*(F30-I18)+(1-$F$83)*(G29+H29)</f>
        <v>131438.8724869728</v>
      </c>
      <c r="H30">
        <f>$G$83*(G30-G29)+(1-$G$83)*H29</f>
        <v>-2250.668684951961</v>
      </c>
      <c r="I30" s="40">
        <f>$H$83*(F30-G30)+(1-$H$83)*I18</f>
        <v>-3692.8269416329576</v>
      </c>
      <c r="J30" s="40">
        <f t="shared" si="3"/>
        <v>134046.98340986902</v>
      </c>
      <c r="K30" s="19">
        <f t="shared" si="5"/>
        <v>56125.983409869019</v>
      </c>
    </row>
    <row r="31" spans="1:11" x14ac:dyDescent="0.35">
      <c r="A31" s="27">
        <f t="shared" si="2"/>
        <v>28</v>
      </c>
      <c r="B31" s="3">
        <v>43951</v>
      </c>
      <c r="C31" s="41">
        <v>31224</v>
      </c>
      <c r="E31" s="3">
        <f t="shared" si="4"/>
        <v>43951</v>
      </c>
      <c r="F31" s="39">
        <f t="shared" si="4"/>
        <v>31224</v>
      </c>
      <c r="G31" s="40">
        <f>$F$83*(F31-I19)+(1-$F$83)*(G30+H30)</f>
        <v>123518.97798284852</v>
      </c>
      <c r="H31">
        <f>$G$83*(G31-G30)+(1-$G$83)*H30</f>
        <v>-7919.8945041242841</v>
      </c>
      <c r="I31" s="40">
        <f>$H$83*(F31-G31)+(1-$H$83)*I19</f>
        <v>-10031.725617108803</v>
      </c>
      <c r="J31" s="40">
        <f t="shared" si="3"/>
        <v>123890.3666231855</v>
      </c>
      <c r="K31" s="19">
        <f t="shared" si="5"/>
        <v>92666.366623185502</v>
      </c>
    </row>
    <row r="32" spans="1:11" x14ac:dyDescent="0.35">
      <c r="A32" s="27">
        <f t="shared" si="2"/>
        <v>29</v>
      </c>
      <c r="B32" s="3">
        <v>43982</v>
      </c>
      <c r="C32" s="39">
        <v>23641</v>
      </c>
      <c r="E32" s="3">
        <f t="shared" si="4"/>
        <v>43982</v>
      </c>
      <c r="F32" s="39">
        <f t="shared" si="4"/>
        <v>23641</v>
      </c>
      <c r="G32" s="40">
        <f>$F$83*(F32-I20)+(1-$F$83)*(G31+H31)</f>
        <v>108959.56696334021</v>
      </c>
      <c r="H32">
        <f>$G$83*(G32-G31)+(1-$G$83)*H31</f>
        <v>-14559.411019508305</v>
      </c>
      <c r="I32" s="40">
        <f>$H$83*(F32-G32)+(1-$H$83)*I20</f>
        <v>11024.080183369144</v>
      </c>
      <c r="J32" s="40">
        <f t="shared" si="3"/>
        <v>132167.25935883014</v>
      </c>
      <c r="K32" s="19">
        <f t="shared" si="5"/>
        <v>108526.25935883014</v>
      </c>
    </row>
    <row r="33" spans="1:11" x14ac:dyDescent="0.35">
      <c r="A33" s="27">
        <f t="shared" si="2"/>
        <v>30</v>
      </c>
      <c r="B33" s="3">
        <v>44012</v>
      </c>
      <c r="C33">
        <v>36735</v>
      </c>
      <c r="E33" s="3">
        <f t="shared" si="4"/>
        <v>44012</v>
      </c>
      <c r="F33" s="39">
        <f t="shared" si="4"/>
        <v>36735</v>
      </c>
      <c r="G33" s="40">
        <f t="shared" ref="G33:G79" si="6">$F$83*(F33-I21)+(1-$F$83)*(G32+H32)</f>
        <v>91282.739773171488</v>
      </c>
      <c r="H33">
        <f t="shared" ref="H33:H79" si="7">$G$83*(G33-G32)+(1-$G$83)*H32</f>
        <v>-17676.827190168726</v>
      </c>
      <c r="I33" s="40">
        <f t="shared" ref="I33:I79" si="8">$H$83*(F33-G33)+(1-$H$83)*I21</f>
        <v>-9312.4993089776472</v>
      </c>
      <c r="J33" s="40">
        <f t="shared" si="3"/>
        <v>87690.745811099259</v>
      </c>
      <c r="K33" s="19">
        <f t="shared" si="5"/>
        <v>50955.745811099259</v>
      </c>
    </row>
    <row r="34" spans="1:11" x14ac:dyDescent="0.35">
      <c r="A34" s="27">
        <f t="shared" si="2"/>
        <v>31</v>
      </c>
      <c r="B34" s="3">
        <v>44043</v>
      </c>
      <c r="C34">
        <v>44506</v>
      </c>
      <c r="E34" s="3">
        <f t="shared" si="4"/>
        <v>44043</v>
      </c>
      <c r="F34" s="39">
        <f t="shared" si="4"/>
        <v>44506</v>
      </c>
      <c r="G34" s="40">
        <f t="shared" si="6"/>
        <v>71764.53605193329</v>
      </c>
      <c r="H34">
        <f t="shared" si="7"/>
        <v>-19518.203721238198</v>
      </c>
      <c r="I34" s="40">
        <f t="shared" si="8"/>
        <v>-539.25777526849288</v>
      </c>
      <c r="J34" s="40">
        <f t="shared" si="3"/>
        <v>74604.231780141854</v>
      </c>
      <c r="K34" s="19">
        <f t="shared" si="5"/>
        <v>30098.231780141854</v>
      </c>
    </row>
    <row r="35" spans="1:11" x14ac:dyDescent="0.35">
      <c r="A35" s="27">
        <f t="shared" si="2"/>
        <v>32</v>
      </c>
      <c r="B35" s="3">
        <v>44074</v>
      </c>
      <c r="C35">
        <v>55883</v>
      </c>
      <c r="E35" s="3">
        <f t="shared" si="4"/>
        <v>44074</v>
      </c>
      <c r="F35" s="39">
        <f t="shared" si="4"/>
        <v>55883</v>
      </c>
      <c r="G35" s="40">
        <f t="shared" si="6"/>
        <v>51479.092625456942</v>
      </c>
      <c r="H35">
        <f t="shared" si="7"/>
        <v>-20285.443426476348</v>
      </c>
      <c r="I35" s="40">
        <f t="shared" si="8"/>
        <v>15536.932501814532</v>
      </c>
      <c r="J35" s="40">
        <f t="shared" si="3"/>
        <v>68423.921473444323</v>
      </c>
      <c r="K35" s="19">
        <f t="shared" si="5"/>
        <v>12540.921473444323</v>
      </c>
    </row>
    <row r="36" spans="1:11" x14ac:dyDescent="0.35">
      <c r="A36" s="27">
        <f t="shared" si="2"/>
        <v>33</v>
      </c>
      <c r="B36" s="3">
        <v>44104</v>
      </c>
      <c r="C36">
        <v>68914</v>
      </c>
      <c r="E36" s="3">
        <f t="shared" si="4"/>
        <v>44104</v>
      </c>
      <c r="F36" s="39">
        <f t="shared" si="4"/>
        <v>68914</v>
      </c>
      <c r="G36" s="40">
        <f t="shared" si="6"/>
        <v>33425.985869836826</v>
      </c>
      <c r="H36">
        <f t="shared" si="7"/>
        <v>-18053.106755620116</v>
      </c>
      <c r="I36" s="40">
        <f t="shared" si="8"/>
        <v>3095.7121162080857</v>
      </c>
      <c r="J36" s="40">
        <f t="shared" si="3"/>
        <v>32425.326772630448</v>
      </c>
      <c r="K36" s="19">
        <f t="shared" si="5"/>
        <v>-36488.673227369552</v>
      </c>
    </row>
    <row r="37" spans="1:11" x14ac:dyDescent="0.35">
      <c r="A37" s="27">
        <f t="shared" si="2"/>
        <v>34</v>
      </c>
      <c r="B37" s="3">
        <v>44135</v>
      </c>
      <c r="C37">
        <v>47439</v>
      </c>
      <c r="E37" s="3">
        <f t="shared" ref="E37:F79" si="9">B37</f>
        <v>44135</v>
      </c>
      <c r="F37" s="39">
        <f t="shared" si="9"/>
        <v>47439</v>
      </c>
      <c r="G37" s="40">
        <f t="shared" si="6"/>
        <v>16689.602810752243</v>
      </c>
      <c r="H37">
        <f t="shared" si="7"/>
        <v>-16736.383059084583</v>
      </c>
      <c r="I37" s="40">
        <f t="shared" si="8"/>
        <v>11643.089344225915</v>
      </c>
      <c r="J37" s="40">
        <f t="shared" si="3"/>
        <v>25916.484457937542</v>
      </c>
      <c r="K37" s="19">
        <f t="shared" si="5"/>
        <v>-21522.515542062458</v>
      </c>
    </row>
    <row r="38" spans="1:11" x14ac:dyDescent="0.35">
      <c r="A38" s="27">
        <f t="shared" si="2"/>
        <v>35</v>
      </c>
      <c r="B38" s="3">
        <v>44165</v>
      </c>
      <c r="C38">
        <v>75926</v>
      </c>
      <c r="E38" s="3">
        <f t="shared" si="9"/>
        <v>44165</v>
      </c>
      <c r="F38" s="39">
        <f t="shared" si="9"/>
        <v>75926</v>
      </c>
      <c r="G38" s="40">
        <f t="shared" si="6"/>
        <v>5254.5012776991225</v>
      </c>
      <c r="H38">
        <f t="shared" si="7"/>
        <v>-11435.101533053121</v>
      </c>
      <c r="I38" s="40">
        <f t="shared" si="8"/>
        <v>-6252.7011504480561</v>
      </c>
      <c r="J38" s="40">
        <f t="shared" si="3"/>
        <v>-10726.130843444238</v>
      </c>
      <c r="K38" s="19">
        <f t="shared" si="5"/>
        <v>-86652.130843444233</v>
      </c>
    </row>
    <row r="39" spans="1:11" x14ac:dyDescent="0.35">
      <c r="A39" s="27">
        <f t="shared" si="2"/>
        <v>36</v>
      </c>
      <c r="B39" s="3">
        <v>44196</v>
      </c>
      <c r="C39">
        <v>67387</v>
      </c>
      <c r="E39" s="3">
        <f t="shared" si="9"/>
        <v>44196</v>
      </c>
      <c r="F39" s="39">
        <f t="shared" si="9"/>
        <v>67387</v>
      </c>
      <c r="G39" s="40">
        <f t="shared" si="6"/>
        <v>-1782.1153084610155</v>
      </c>
      <c r="H39">
        <f t="shared" si="7"/>
        <v>-7036.6165861601385</v>
      </c>
      <c r="I39" s="40">
        <f t="shared" si="8"/>
        <v>5344.9374128641393</v>
      </c>
      <c r="J39" s="40">
        <f t="shared" si="3"/>
        <v>-4508.4636269639004</v>
      </c>
      <c r="K39" s="19">
        <f t="shared" si="5"/>
        <v>-71895.463626963901</v>
      </c>
    </row>
    <row r="40" spans="1:11" x14ac:dyDescent="0.35">
      <c r="A40" s="27">
        <f t="shared" si="2"/>
        <v>37</v>
      </c>
      <c r="B40" s="3">
        <v>44227</v>
      </c>
      <c r="C40">
        <v>60442</v>
      </c>
      <c r="E40" s="3">
        <f t="shared" si="9"/>
        <v>44227</v>
      </c>
      <c r="F40" s="39">
        <f t="shared" si="9"/>
        <v>60442</v>
      </c>
      <c r="G40" s="40">
        <f t="shared" si="6"/>
        <v>-4070.4228857348344</v>
      </c>
      <c r="H40">
        <f t="shared" si="7"/>
        <v>-2288.3075772738189</v>
      </c>
      <c r="I40" s="40">
        <f t="shared" si="8"/>
        <v>-4387.8740450299683</v>
      </c>
      <c r="J40" s="40">
        <f t="shared" si="3"/>
        <v>-17171.515053431736</v>
      </c>
      <c r="K40" s="19">
        <f t="shared" si="5"/>
        <v>-77613.515053431736</v>
      </c>
    </row>
    <row r="41" spans="1:11" x14ac:dyDescent="0.35">
      <c r="A41" s="27">
        <f t="shared" si="2"/>
        <v>38</v>
      </c>
      <c r="B41" s="3">
        <v>44255</v>
      </c>
      <c r="C41">
        <v>63811</v>
      </c>
      <c r="E41" s="3">
        <f t="shared" si="9"/>
        <v>44255</v>
      </c>
      <c r="F41" s="39">
        <f t="shared" si="9"/>
        <v>63811</v>
      </c>
      <c r="G41" s="40">
        <f t="shared" si="6"/>
        <v>-989.06174360360092</v>
      </c>
      <c r="H41">
        <f t="shared" si="7"/>
        <v>3081.3611421312335</v>
      </c>
      <c r="I41" s="40">
        <f t="shared" si="8"/>
        <v>-13116.469908918676</v>
      </c>
      <c r="J41" s="40">
        <f t="shared" si="3"/>
        <v>-23958.95414694654</v>
      </c>
      <c r="K41" s="19">
        <f t="shared" si="5"/>
        <v>-87769.954146946548</v>
      </c>
    </row>
    <row r="42" spans="1:11" x14ac:dyDescent="0.35">
      <c r="A42" s="27">
        <f t="shared" si="2"/>
        <v>39</v>
      </c>
      <c r="B42" s="3">
        <v>44286</v>
      </c>
      <c r="C42">
        <v>55821</v>
      </c>
      <c r="E42" s="3">
        <f t="shared" si="9"/>
        <v>44286</v>
      </c>
      <c r="F42" s="39">
        <f t="shared" si="9"/>
        <v>55821</v>
      </c>
      <c r="G42" s="40">
        <f t="shared" si="6"/>
        <v>5605.2849442697116</v>
      </c>
      <c r="H42">
        <f t="shared" si="7"/>
        <v>6594.3466878733125</v>
      </c>
      <c r="I42" s="40">
        <f t="shared" si="8"/>
        <v>-759.43141475691664</v>
      </c>
      <c r="J42" s="40">
        <f t="shared" si="3"/>
        <v>-1600.5275431053251</v>
      </c>
      <c r="K42" s="19">
        <f t="shared" si="5"/>
        <v>-57421.527543105323</v>
      </c>
    </row>
    <row r="43" spans="1:11" x14ac:dyDescent="0.35">
      <c r="A43" s="27">
        <f t="shared" si="2"/>
        <v>40</v>
      </c>
      <c r="B43" s="3">
        <v>44316</v>
      </c>
      <c r="C43">
        <v>33014</v>
      </c>
      <c r="E43" s="3">
        <f t="shared" si="9"/>
        <v>44316</v>
      </c>
      <c r="F43" s="39">
        <f t="shared" si="9"/>
        <v>33014</v>
      </c>
      <c r="G43" s="40">
        <f t="shared" si="6"/>
        <v>14086.761545753232</v>
      </c>
      <c r="H43">
        <f t="shared" si="7"/>
        <v>8481.4766014835204</v>
      </c>
      <c r="I43" s="40">
        <f t="shared" si="8"/>
        <v>-8455.9438852631647</v>
      </c>
      <c r="J43" s="40">
        <f t="shared" si="3"/>
        <v>2167.9060150342211</v>
      </c>
      <c r="K43" s="19">
        <f t="shared" si="5"/>
        <v>-30846.093984965781</v>
      </c>
    </row>
    <row r="44" spans="1:11" x14ac:dyDescent="0.35">
      <c r="A44" s="27">
        <f t="shared" si="2"/>
        <v>41</v>
      </c>
      <c r="B44" s="3">
        <v>44347</v>
      </c>
      <c r="C44">
        <v>11690</v>
      </c>
      <c r="E44" s="3">
        <f t="shared" si="9"/>
        <v>44347</v>
      </c>
      <c r="F44" s="39">
        <f t="shared" si="9"/>
        <v>11690</v>
      </c>
      <c r="G44" s="40">
        <f t="shared" si="6"/>
        <v>21228.278536167527</v>
      </c>
      <c r="H44">
        <f t="shared" si="7"/>
        <v>7141.5169904142949</v>
      </c>
      <c r="I44" s="40">
        <f t="shared" si="8"/>
        <v>9905.1938463418937</v>
      </c>
      <c r="J44" s="40">
        <f t="shared" si="3"/>
        <v>33592.318330605893</v>
      </c>
      <c r="K44" s="19">
        <f t="shared" si="5"/>
        <v>21902.318330605893</v>
      </c>
    </row>
    <row r="45" spans="1:11" x14ac:dyDescent="0.35">
      <c r="A45" s="27">
        <f t="shared" si="2"/>
        <v>42</v>
      </c>
      <c r="B45" s="3">
        <v>44377</v>
      </c>
      <c r="C45">
        <v>9100</v>
      </c>
      <c r="E45" s="3">
        <f t="shared" si="9"/>
        <v>44377</v>
      </c>
      <c r="F45" s="39">
        <f t="shared" si="9"/>
        <v>9100</v>
      </c>
      <c r="G45" s="40">
        <f t="shared" si="6"/>
        <v>27760.619156955348</v>
      </c>
      <c r="H45">
        <f t="shared" si="7"/>
        <v>6532.3406207878215</v>
      </c>
      <c r="I45" s="40">
        <f t="shared" si="8"/>
        <v>-9821.1706981630614</v>
      </c>
      <c r="J45" s="40">
        <f t="shared" si="3"/>
        <v>19057.296217604176</v>
      </c>
      <c r="K45" s="19">
        <f t="shared" si="5"/>
        <v>9957.2962176041765</v>
      </c>
    </row>
    <row r="46" spans="1:11" x14ac:dyDescent="0.35">
      <c r="A46" s="27">
        <f t="shared" si="2"/>
        <v>43</v>
      </c>
      <c r="B46" s="3">
        <v>44408</v>
      </c>
      <c r="C46">
        <v>8510</v>
      </c>
      <c r="E46" s="3">
        <f t="shared" si="9"/>
        <v>44408</v>
      </c>
      <c r="F46" s="39">
        <f t="shared" si="9"/>
        <v>8510</v>
      </c>
      <c r="G46" s="40">
        <f t="shared" si="6"/>
        <v>32748.578009265439</v>
      </c>
      <c r="H46">
        <f t="shared" si="7"/>
        <v>4987.9588523100902</v>
      </c>
      <c r="I46" s="40">
        <f t="shared" si="8"/>
        <v>-1828.8396743265271</v>
      </c>
      <c r="J46" s="40">
        <f t="shared" si="3"/>
        <v>33753.702002474674</v>
      </c>
      <c r="K46" s="19">
        <f t="shared" si="5"/>
        <v>25243.702002474674</v>
      </c>
    </row>
    <row r="47" spans="1:11" x14ac:dyDescent="0.35">
      <c r="A47" s="27">
        <f t="shared" si="2"/>
        <v>44</v>
      </c>
      <c r="B47" s="3">
        <v>44439</v>
      </c>
      <c r="C47">
        <v>10133</v>
      </c>
      <c r="E47" s="3">
        <f t="shared" si="9"/>
        <v>44439</v>
      </c>
      <c r="F47" s="39">
        <f t="shared" si="9"/>
        <v>10133</v>
      </c>
      <c r="G47" s="40">
        <f t="shared" si="6"/>
        <v>35097.250660135644</v>
      </c>
      <c r="H47">
        <f t="shared" si="7"/>
        <v>2348.672650870205</v>
      </c>
      <c r="I47" s="40">
        <f t="shared" si="8"/>
        <v>13333.089008398167</v>
      </c>
      <c r="J47" s="40">
        <f t="shared" si="3"/>
        <v>53273.469363390061</v>
      </c>
      <c r="K47" s="19">
        <f t="shared" si="5"/>
        <v>43140.469363390061</v>
      </c>
    </row>
    <row r="48" spans="1:11" x14ac:dyDescent="0.35">
      <c r="A48" s="27">
        <f t="shared" si="2"/>
        <v>45</v>
      </c>
      <c r="B48" s="3">
        <v>44469</v>
      </c>
      <c r="C48">
        <v>10459</v>
      </c>
      <c r="E48" s="3">
        <f t="shared" si="9"/>
        <v>44469</v>
      </c>
      <c r="F48" s="39">
        <f t="shared" si="9"/>
        <v>10459</v>
      </c>
      <c r="G48" s="40">
        <f t="shared" si="6"/>
        <v>35605.500947558634</v>
      </c>
      <c r="H48">
        <f t="shared" si="7"/>
        <v>508.25028742299037</v>
      </c>
      <c r="I48" s="40">
        <f t="shared" si="8"/>
        <v>1558.931888050821</v>
      </c>
      <c r="J48" s="40">
        <f t="shared" si="3"/>
        <v>40541.635427213936</v>
      </c>
      <c r="K48" s="19">
        <f t="shared" si="5"/>
        <v>30082.635427213936</v>
      </c>
    </row>
    <row r="49" spans="1:11" x14ac:dyDescent="0.35">
      <c r="A49" s="27">
        <f t="shared" si="2"/>
        <v>46</v>
      </c>
      <c r="B49" s="3">
        <v>44500</v>
      </c>
      <c r="C49">
        <v>14893</v>
      </c>
      <c r="E49" s="3">
        <f t="shared" si="9"/>
        <v>44500</v>
      </c>
      <c r="F49" s="39">
        <f t="shared" si="9"/>
        <v>14893</v>
      </c>
      <c r="G49" s="40">
        <f t="shared" si="6"/>
        <v>34103.177816403346</v>
      </c>
      <c r="H49">
        <f t="shared" si="7"/>
        <v>-1502.3231311552881</v>
      </c>
      <c r="I49" s="40">
        <f t="shared" si="8"/>
        <v>9964.230437544149</v>
      </c>
      <c r="J49" s="40">
        <f t="shared" si="3"/>
        <v>47756.840579207535</v>
      </c>
      <c r="K49" s="19">
        <f t="shared" si="5"/>
        <v>32863.840579207535</v>
      </c>
    </row>
    <row r="50" spans="1:11" x14ac:dyDescent="0.35">
      <c r="A50" s="27">
        <f t="shared" si="2"/>
        <v>47</v>
      </c>
      <c r="B50" s="3">
        <v>44530</v>
      </c>
      <c r="C50">
        <v>20774</v>
      </c>
      <c r="E50" s="3">
        <f t="shared" si="9"/>
        <v>44530</v>
      </c>
      <c r="F50" s="39">
        <f t="shared" si="9"/>
        <v>20774</v>
      </c>
      <c r="G50" s="40">
        <f t="shared" si="6"/>
        <v>32259.834137113045</v>
      </c>
      <c r="H50">
        <f t="shared" si="7"/>
        <v>-1843.3436792903012</v>
      </c>
      <c r="I50" s="40">
        <f t="shared" si="8"/>
        <v>-6537.4584138773171</v>
      </c>
      <c r="J50" s="40">
        <f t="shared" si="3"/>
        <v>26348.153534800003</v>
      </c>
      <c r="K50" s="19">
        <f t="shared" si="5"/>
        <v>5574.1535348000034</v>
      </c>
    </row>
    <row r="51" spans="1:11" x14ac:dyDescent="0.35">
      <c r="A51" s="27">
        <f t="shared" si="2"/>
        <v>48</v>
      </c>
      <c r="B51" s="3">
        <v>44561</v>
      </c>
      <c r="C51">
        <v>32567</v>
      </c>
      <c r="E51" s="3">
        <f t="shared" si="9"/>
        <v>44561</v>
      </c>
      <c r="F51" s="39">
        <f t="shared" si="9"/>
        <v>32567</v>
      </c>
      <c r="G51" s="40">
        <f t="shared" si="6"/>
        <v>30221.058893794521</v>
      </c>
      <c r="H51">
        <f t="shared" si="7"/>
        <v>-2038.7752433185233</v>
      </c>
      <c r="I51" s="40">
        <f t="shared" si="8"/>
        <v>5181.7491309124489</v>
      </c>
      <c r="J51" s="40">
        <f t="shared" si="3"/>
        <v>35761.427870686879</v>
      </c>
      <c r="K51" s="19">
        <f t="shared" si="5"/>
        <v>3194.427870686879</v>
      </c>
    </row>
    <row r="52" spans="1:11" x14ac:dyDescent="0.35">
      <c r="A52" s="27">
        <f t="shared" si="2"/>
        <v>49</v>
      </c>
      <c r="B52" s="3">
        <v>44592</v>
      </c>
      <c r="C52">
        <v>59844</v>
      </c>
      <c r="E52" s="3">
        <f t="shared" si="9"/>
        <v>44592</v>
      </c>
      <c r="F52" s="39">
        <f t="shared" si="9"/>
        <v>59844</v>
      </c>
      <c r="G52" s="40">
        <f t="shared" si="6"/>
        <v>30387.757719254871</v>
      </c>
      <c r="H52">
        <f t="shared" si="7"/>
        <v>166.69882546034933</v>
      </c>
      <c r="I52" s="40">
        <f t="shared" si="8"/>
        <v>-2546.2701773913868</v>
      </c>
      <c r="J52" s="40">
        <f t="shared" si="3"/>
        <v>23794.409605446031</v>
      </c>
      <c r="K52" s="19">
        <f t="shared" si="5"/>
        <v>-36049.590394553969</v>
      </c>
    </row>
    <row r="53" spans="1:11" x14ac:dyDescent="0.35">
      <c r="A53" s="27">
        <f t="shared" si="2"/>
        <v>50</v>
      </c>
      <c r="B53" s="3">
        <v>44620</v>
      </c>
      <c r="C53">
        <v>21730</v>
      </c>
      <c r="E53" s="3">
        <f t="shared" si="9"/>
        <v>44620</v>
      </c>
      <c r="F53" s="39">
        <f t="shared" si="9"/>
        <v>21730</v>
      </c>
      <c r="G53" s="40">
        <f t="shared" si="6"/>
        <v>30817.037175285524</v>
      </c>
      <c r="H53">
        <f t="shared" si="7"/>
        <v>429.27945603065382</v>
      </c>
      <c r="I53" s="40">
        <f t="shared" si="8"/>
        <v>-12897.211151053078</v>
      </c>
      <c r="J53" s="40">
        <f t="shared" si="3"/>
        <v>17437.986635796544</v>
      </c>
      <c r="K53" s="19">
        <f t="shared" si="5"/>
        <v>-4292.0133642034561</v>
      </c>
    </row>
    <row r="54" spans="1:11" x14ac:dyDescent="0.35">
      <c r="A54" s="27">
        <f t="shared" si="2"/>
        <v>51</v>
      </c>
      <c r="B54" s="3">
        <v>44651</v>
      </c>
      <c r="C54">
        <v>32597</v>
      </c>
      <c r="E54" s="3">
        <f t="shared" si="9"/>
        <v>44651</v>
      </c>
      <c r="F54" s="39">
        <f t="shared" si="9"/>
        <v>32597</v>
      </c>
      <c r="G54" s="40">
        <f t="shared" si="6"/>
        <v>31375.411119938402</v>
      </c>
      <c r="H54">
        <f t="shared" si="7"/>
        <v>558.37394465287798</v>
      </c>
      <c r="I54" s="40">
        <f t="shared" si="8"/>
        <v>-651.63558396343103</v>
      </c>
      <c r="J54" s="40">
        <f t="shared" si="3"/>
        <v>30486.885216559262</v>
      </c>
      <c r="K54" s="19">
        <f t="shared" si="5"/>
        <v>-2110.1147834407384</v>
      </c>
    </row>
    <row r="55" spans="1:11" x14ac:dyDescent="0.35">
      <c r="A55" s="27">
        <f t="shared" si="2"/>
        <v>52</v>
      </c>
      <c r="B55" s="3">
        <v>44681</v>
      </c>
      <c r="C55">
        <v>25446</v>
      </c>
      <c r="E55" s="3">
        <f t="shared" si="9"/>
        <v>44681</v>
      </c>
      <c r="F55" s="39">
        <f t="shared" si="9"/>
        <v>25446</v>
      </c>
      <c r="G55" s="40">
        <f t="shared" si="6"/>
        <v>32054.194844417405</v>
      </c>
      <c r="H55">
        <f t="shared" si="7"/>
        <v>678.78372447900256</v>
      </c>
      <c r="I55" s="40">
        <f t="shared" si="8"/>
        <v>-8355.39991634129</v>
      </c>
      <c r="J55" s="40">
        <f t="shared" si="3"/>
        <v>23477.841179328116</v>
      </c>
      <c r="K55" s="19">
        <f t="shared" si="5"/>
        <v>-1968.1588206718843</v>
      </c>
    </row>
    <row r="56" spans="1:11" x14ac:dyDescent="0.35">
      <c r="A56" s="27">
        <f t="shared" si="2"/>
        <v>53</v>
      </c>
      <c r="B56" s="3">
        <v>44712</v>
      </c>
      <c r="C56">
        <v>49191</v>
      </c>
      <c r="E56" s="3">
        <f t="shared" si="9"/>
        <v>44712</v>
      </c>
      <c r="F56" s="39">
        <f t="shared" si="9"/>
        <v>49191</v>
      </c>
      <c r="G56" s="40">
        <f t="shared" si="6"/>
        <v>33133.873312975222</v>
      </c>
      <c r="H56">
        <f t="shared" si="7"/>
        <v>1079.6784685578168</v>
      </c>
      <c r="I56" s="40">
        <f t="shared" si="8"/>
        <v>10239.946959816632</v>
      </c>
      <c r="J56" s="40">
        <f t="shared" si="3"/>
        <v>42638.172415238303</v>
      </c>
      <c r="K56" s="19">
        <f t="shared" si="5"/>
        <v>-6552.8275847616969</v>
      </c>
    </row>
    <row r="57" spans="1:11" x14ac:dyDescent="0.35">
      <c r="A57" s="27">
        <f t="shared" si="2"/>
        <v>54</v>
      </c>
      <c r="B57" s="3">
        <v>44742</v>
      </c>
      <c r="C57">
        <v>32408</v>
      </c>
      <c r="E57" s="3">
        <f t="shared" si="9"/>
        <v>44742</v>
      </c>
      <c r="F57" s="39">
        <f t="shared" si="9"/>
        <v>32408</v>
      </c>
      <c r="G57" s="40">
        <f t="shared" si="6"/>
        <v>34703.938481419413</v>
      </c>
      <c r="H57">
        <f t="shared" si="7"/>
        <v>1570.0651684441909</v>
      </c>
      <c r="I57" s="40">
        <f t="shared" si="8"/>
        <v>-9411.6904617215168</v>
      </c>
      <c r="J57" s="40">
        <f t="shared" si="3"/>
        <v>24392.381083369975</v>
      </c>
      <c r="K57" s="19">
        <f t="shared" si="5"/>
        <v>-8015.6189166300246</v>
      </c>
    </row>
    <row r="58" spans="1:11" x14ac:dyDescent="0.35">
      <c r="A58" s="27">
        <f t="shared" si="2"/>
        <v>55</v>
      </c>
      <c r="B58" s="3">
        <v>44773</v>
      </c>
      <c r="C58">
        <v>28554</v>
      </c>
      <c r="E58" s="3">
        <f t="shared" si="9"/>
        <v>44773</v>
      </c>
      <c r="F58" s="39">
        <f t="shared" si="9"/>
        <v>28554</v>
      </c>
      <c r="G58" s="40">
        <f t="shared" si="6"/>
        <v>35913.58875358411</v>
      </c>
      <c r="H58">
        <f t="shared" si="7"/>
        <v>1209.6502721646975</v>
      </c>
      <c r="I58" s="40">
        <f t="shared" si="8"/>
        <v>-2129.7915088272916</v>
      </c>
      <c r="J58" s="40">
        <f t="shared" si="3"/>
        <v>34445.163975537078</v>
      </c>
      <c r="K58" s="19">
        <f t="shared" si="5"/>
        <v>5891.1639755370779</v>
      </c>
    </row>
    <row r="59" spans="1:11" x14ac:dyDescent="0.35">
      <c r="A59" s="27">
        <f t="shared" si="2"/>
        <v>56</v>
      </c>
      <c r="B59" s="3">
        <v>44804</v>
      </c>
      <c r="C59">
        <v>44473</v>
      </c>
      <c r="E59" s="3">
        <f t="shared" si="9"/>
        <v>44804</v>
      </c>
      <c r="F59" s="39">
        <f t="shared" si="9"/>
        <v>44473</v>
      </c>
      <c r="G59" s="40">
        <f t="shared" si="6"/>
        <v>36757.185634298839</v>
      </c>
      <c r="H59">
        <f t="shared" si="7"/>
        <v>843.5968807147292</v>
      </c>
      <c r="I59" s="40">
        <f t="shared" si="8"/>
        <v>13027.428946010883</v>
      </c>
      <c r="J59" s="40">
        <f t="shared" si="3"/>
        <v>50456.328034146973</v>
      </c>
      <c r="K59" s="19">
        <f t="shared" si="5"/>
        <v>5983.3280341469726</v>
      </c>
    </row>
    <row r="60" spans="1:11" x14ac:dyDescent="0.35">
      <c r="A60" s="27">
        <f t="shared" si="2"/>
        <v>57</v>
      </c>
      <c r="B60" s="3">
        <v>44834</v>
      </c>
      <c r="C60">
        <v>42148</v>
      </c>
      <c r="E60" s="3">
        <f t="shared" si="9"/>
        <v>44834</v>
      </c>
      <c r="F60" s="39">
        <f t="shared" si="9"/>
        <v>42148</v>
      </c>
      <c r="G60" s="40">
        <f t="shared" si="6"/>
        <v>37783.602522731118</v>
      </c>
      <c r="H60">
        <f t="shared" si="7"/>
        <v>1026.4168884322789</v>
      </c>
      <c r="I60" s="40">
        <f t="shared" si="8"/>
        <v>1711.5893316637357</v>
      </c>
      <c r="J60" s="40">
        <f t="shared" si="3"/>
        <v>39159.71440306439</v>
      </c>
      <c r="K60" s="19">
        <f t="shared" si="5"/>
        <v>-2988.2855969356096</v>
      </c>
    </row>
    <row r="61" spans="1:11" x14ac:dyDescent="0.35">
      <c r="A61" s="27">
        <f t="shared" si="2"/>
        <v>58</v>
      </c>
      <c r="B61" s="3">
        <v>44865</v>
      </c>
      <c r="C61">
        <v>40341</v>
      </c>
      <c r="E61" s="3">
        <f t="shared" si="9"/>
        <v>44865</v>
      </c>
      <c r="F61" s="39">
        <f t="shared" si="9"/>
        <v>40341</v>
      </c>
      <c r="G61" s="40">
        <f t="shared" si="6"/>
        <v>38294.082512760586</v>
      </c>
      <c r="H61">
        <f t="shared" si="7"/>
        <v>510.47999002946744</v>
      </c>
      <c r="I61" s="40">
        <f t="shared" si="8"/>
        <v>9533.4154028055418</v>
      </c>
      <c r="J61" s="40">
        <f t="shared" si="3"/>
        <v>48774.24984870755</v>
      </c>
      <c r="K61" s="19">
        <f t="shared" si="5"/>
        <v>8433.24984870755</v>
      </c>
    </row>
    <row r="62" spans="1:11" x14ac:dyDescent="0.35">
      <c r="A62" s="27">
        <f t="shared" si="2"/>
        <v>59</v>
      </c>
      <c r="B62" s="3">
        <v>44895</v>
      </c>
      <c r="C62">
        <v>41282</v>
      </c>
      <c r="E62" s="3">
        <f t="shared" si="9"/>
        <v>44895</v>
      </c>
      <c r="F62" s="39">
        <f t="shared" si="9"/>
        <v>41282</v>
      </c>
      <c r="G62" s="40">
        <f t="shared" si="6"/>
        <v>39356.083863977212</v>
      </c>
      <c r="H62">
        <f t="shared" si="7"/>
        <v>1062.0013512166261</v>
      </c>
      <c r="I62" s="40">
        <f t="shared" si="8"/>
        <v>-6076.9298199456207</v>
      </c>
      <c r="J62" s="40">
        <f t="shared" si="3"/>
        <v>32267.104088912736</v>
      </c>
      <c r="K62" s="19">
        <f t="shared" si="5"/>
        <v>-9014.8959110872638</v>
      </c>
    </row>
    <row r="63" spans="1:11" x14ac:dyDescent="0.35">
      <c r="A63" s="27">
        <f t="shared" si="2"/>
        <v>60</v>
      </c>
      <c r="B63" s="3">
        <v>44926</v>
      </c>
      <c r="C63">
        <v>40045</v>
      </c>
      <c r="E63" s="3">
        <f t="shared" si="9"/>
        <v>44926</v>
      </c>
      <c r="F63" s="39">
        <f t="shared" si="9"/>
        <v>40045</v>
      </c>
      <c r="G63" s="40">
        <f t="shared" si="6"/>
        <v>40078.246593655706</v>
      </c>
      <c r="H63">
        <f t="shared" si="7"/>
        <v>722.16272967849363</v>
      </c>
      <c r="I63" s="40">
        <f t="shared" si="8"/>
        <v>4897.9787938873051</v>
      </c>
      <c r="J63" s="40">
        <f t="shared" si="3"/>
        <v>45599.83434610629</v>
      </c>
      <c r="K63" s="19">
        <f t="shared" si="5"/>
        <v>5554.8343461062905</v>
      </c>
    </row>
    <row r="64" spans="1:11" x14ac:dyDescent="0.35">
      <c r="A64" s="27">
        <f t="shared" si="2"/>
        <v>61</v>
      </c>
      <c r="B64" s="3">
        <v>44957</v>
      </c>
      <c r="C64">
        <v>30805</v>
      </c>
      <c r="E64" s="3">
        <f t="shared" si="9"/>
        <v>44957</v>
      </c>
      <c r="F64" s="39">
        <f t="shared" si="9"/>
        <v>30805</v>
      </c>
      <c r="G64" s="40">
        <f t="shared" si="6"/>
        <v>40344.679229280635</v>
      </c>
      <c r="H64">
        <f t="shared" si="7"/>
        <v>266.43263562492939</v>
      </c>
      <c r="I64" s="40">
        <f t="shared" si="8"/>
        <v>-2926.8116290861803</v>
      </c>
      <c r="J64" s="40">
        <f t="shared" si="3"/>
        <v>38254.139145942812</v>
      </c>
      <c r="K64" s="19">
        <f t="shared" si="5"/>
        <v>7449.1391459428123</v>
      </c>
    </row>
    <row r="65" spans="1:11" x14ac:dyDescent="0.35">
      <c r="A65" s="27">
        <f t="shared" si="2"/>
        <v>62</v>
      </c>
      <c r="B65" s="3">
        <v>44985</v>
      </c>
      <c r="C65">
        <v>36904</v>
      </c>
      <c r="E65" s="3">
        <f t="shared" si="9"/>
        <v>44985</v>
      </c>
      <c r="F65" s="39">
        <f t="shared" si="9"/>
        <v>36904</v>
      </c>
      <c r="G65" s="40">
        <f t="shared" si="6"/>
        <v>41173.351974800506</v>
      </c>
      <c r="H65">
        <f t="shared" si="7"/>
        <v>828.67274551987066</v>
      </c>
      <c r="I65" s="40">
        <f t="shared" si="8"/>
        <v>-12427.732241469999</v>
      </c>
      <c r="J65" s="40">
        <f t="shared" si="3"/>
        <v>27713.900713852487</v>
      </c>
      <c r="K65" s="19">
        <f t="shared" si="5"/>
        <v>-9190.0992861475133</v>
      </c>
    </row>
    <row r="66" spans="1:11" x14ac:dyDescent="0.35">
      <c r="A66" s="27">
        <f t="shared" si="2"/>
        <v>63</v>
      </c>
      <c r="B66" s="3">
        <v>45016</v>
      </c>
      <c r="C66">
        <v>47258</v>
      </c>
      <c r="E66" s="3">
        <f t="shared" si="9"/>
        <v>45016</v>
      </c>
      <c r="F66" s="39">
        <f t="shared" si="9"/>
        <v>47258</v>
      </c>
      <c r="G66" s="40">
        <f t="shared" si="6"/>
        <v>42363.445819023611</v>
      </c>
      <c r="H66">
        <f t="shared" si="7"/>
        <v>1190.0938442231054</v>
      </c>
      <c r="I66" s="40">
        <f t="shared" si="8"/>
        <v>-349.843555374049</v>
      </c>
      <c r="J66" s="40">
        <f t="shared" si="3"/>
        <v>41350.389136356942</v>
      </c>
      <c r="K66" s="19">
        <f t="shared" si="5"/>
        <v>-5907.6108636430581</v>
      </c>
    </row>
    <row r="67" spans="1:11" x14ac:dyDescent="0.35">
      <c r="A67" s="27">
        <f t="shared" si="2"/>
        <v>64</v>
      </c>
      <c r="B67" s="3">
        <v>45046</v>
      </c>
      <c r="C67">
        <v>33977</v>
      </c>
      <c r="E67" s="3">
        <f t="shared" si="9"/>
        <v>45046</v>
      </c>
      <c r="F67" s="39">
        <f t="shared" si="9"/>
        <v>33977</v>
      </c>
      <c r="G67" s="40">
        <f t="shared" si="6"/>
        <v>43478.831684135759</v>
      </c>
      <c r="H67">
        <f t="shared" si="7"/>
        <v>1115.3858651121482</v>
      </c>
      <c r="I67" s="40">
        <f t="shared" si="8"/>
        <v>-8417.7821974217422</v>
      </c>
      <c r="J67" s="40">
        <f t="shared" si="3"/>
        <v>35198.139746905428</v>
      </c>
      <c r="K67" s="19">
        <f t="shared" si="5"/>
        <v>1221.1397469054282</v>
      </c>
    </row>
    <row r="68" spans="1:11" x14ac:dyDescent="0.35">
      <c r="A68" s="27">
        <f t="shared" si="2"/>
        <v>65</v>
      </c>
      <c r="B68" s="3">
        <v>45077</v>
      </c>
      <c r="C68">
        <v>51732</v>
      </c>
      <c r="E68" s="3">
        <f t="shared" si="9"/>
        <v>45077</v>
      </c>
      <c r="F68" s="39">
        <f t="shared" si="9"/>
        <v>51732</v>
      </c>
      <c r="G68" s="40">
        <f t="shared" si="6"/>
        <v>44404.430555638639</v>
      </c>
      <c r="H68">
        <f t="shared" si="7"/>
        <v>925.59887150287977</v>
      </c>
      <c r="I68" s="40">
        <f t="shared" si="8"/>
        <v>10081.471978674892</v>
      </c>
      <c r="J68" s="40">
        <f t="shared" si="3"/>
        <v>54834.16450906454</v>
      </c>
      <c r="K68" s="19">
        <f t="shared" si="5"/>
        <v>3102.1645090645397</v>
      </c>
    </row>
    <row r="69" spans="1:11" x14ac:dyDescent="0.35">
      <c r="A69" s="27">
        <f t="shared" si="2"/>
        <v>66</v>
      </c>
      <c r="B69" s="3">
        <v>45107</v>
      </c>
      <c r="C69">
        <v>42493</v>
      </c>
      <c r="E69" s="3">
        <f t="shared" si="9"/>
        <v>45107</v>
      </c>
      <c r="F69" s="39">
        <f t="shared" si="9"/>
        <v>42493</v>
      </c>
      <c r="G69" s="40">
        <f t="shared" si="6"/>
        <v>45732.259917531992</v>
      </c>
      <c r="H69">
        <f t="shared" si="7"/>
        <v>1327.8293618933531</v>
      </c>
      <c r="I69" s="40">
        <f t="shared" si="8"/>
        <v>-9075.8219800778425</v>
      </c>
      <c r="J69" s="40">
        <f t="shared" si="3"/>
        <v>35918.33896542</v>
      </c>
      <c r="K69" s="19">
        <f t="shared" si="5"/>
        <v>-6574.66103458</v>
      </c>
    </row>
    <row r="70" spans="1:11" x14ac:dyDescent="0.35">
      <c r="A70" s="27">
        <f t="shared" ref="A70:A81" si="10">A69+1</f>
        <v>67</v>
      </c>
      <c r="B70" s="3">
        <v>45138</v>
      </c>
      <c r="C70">
        <v>33368</v>
      </c>
      <c r="E70" s="3">
        <f t="shared" si="9"/>
        <v>45138</v>
      </c>
      <c r="F70" s="39">
        <f t="shared" si="9"/>
        <v>33368</v>
      </c>
      <c r="G70" s="40">
        <f t="shared" si="6"/>
        <v>46352.720689950162</v>
      </c>
      <c r="H70">
        <f t="shared" si="7"/>
        <v>620.46077241816965</v>
      </c>
      <c r="I70" s="40">
        <f t="shared" si="8"/>
        <v>-2720.4548717136313</v>
      </c>
      <c r="J70" s="40">
        <f t="shared" si="3"/>
        <v>44930.297770598052</v>
      </c>
      <c r="K70" s="19">
        <f t="shared" si="5"/>
        <v>11562.297770598052</v>
      </c>
    </row>
    <row r="71" spans="1:11" x14ac:dyDescent="0.35">
      <c r="A71" s="27">
        <f t="shared" si="10"/>
        <v>68</v>
      </c>
      <c r="B71" s="3">
        <v>45169</v>
      </c>
      <c r="C71">
        <v>52612</v>
      </c>
      <c r="E71" s="3">
        <f t="shared" si="9"/>
        <v>45169</v>
      </c>
      <c r="F71" s="39">
        <f t="shared" si="9"/>
        <v>52612</v>
      </c>
      <c r="G71" s="40">
        <f t="shared" si="6"/>
        <v>46521.154449532929</v>
      </c>
      <c r="H71">
        <f t="shared" si="7"/>
        <v>168.43375958276738</v>
      </c>
      <c r="I71" s="40">
        <f t="shared" si="8"/>
        <v>12649.979622575534</v>
      </c>
      <c r="J71" s="40">
        <f t="shared" si="3"/>
        <v>60000.610408379216</v>
      </c>
      <c r="K71" s="19">
        <f t="shared" si="5"/>
        <v>7388.6104083792161</v>
      </c>
    </row>
    <row r="72" spans="1:11" x14ac:dyDescent="0.35">
      <c r="A72" s="27">
        <f t="shared" si="10"/>
        <v>69</v>
      </c>
      <c r="B72" s="3">
        <v>45199</v>
      </c>
      <c r="C72">
        <v>52467</v>
      </c>
      <c r="E72" s="3">
        <f t="shared" si="9"/>
        <v>45199</v>
      </c>
      <c r="F72" s="39">
        <f t="shared" si="9"/>
        <v>52467</v>
      </c>
      <c r="G72" s="40">
        <f t="shared" si="6"/>
        <v>46938.330730290763</v>
      </c>
      <c r="H72">
        <f t="shared" si="7"/>
        <v>417.17628075783432</v>
      </c>
      <c r="I72" s="40">
        <f t="shared" si="8"/>
        <v>1919.2930610010753</v>
      </c>
      <c r="J72" s="40">
        <f t="shared" si="3"/>
        <v>48401.177540779434</v>
      </c>
      <c r="K72" s="19">
        <f t="shared" si="5"/>
        <v>-4065.8224592205661</v>
      </c>
    </row>
    <row r="73" spans="1:11" x14ac:dyDescent="0.35">
      <c r="A73" s="27">
        <f t="shared" si="10"/>
        <v>70</v>
      </c>
      <c r="B73" s="3">
        <v>45230</v>
      </c>
      <c r="C73">
        <v>42235</v>
      </c>
      <c r="E73" s="3">
        <f t="shared" si="9"/>
        <v>45230</v>
      </c>
      <c r="F73" s="39">
        <f t="shared" si="9"/>
        <v>42235</v>
      </c>
      <c r="G73" s="40">
        <f t="shared" si="6"/>
        <v>46458.996245297007</v>
      </c>
      <c r="H73">
        <f t="shared" si="7"/>
        <v>-479.33448499375663</v>
      </c>
      <c r="I73" s="40">
        <f t="shared" si="8"/>
        <v>8784.8154909045625</v>
      </c>
      <c r="J73" s="40">
        <f t="shared" si="3"/>
        <v>56888.922413854139</v>
      </c>
      <c r="K73" s="19">
        <f t="shared" si="5"/>
        <v>14653.922413854139</v>
      </c>
    </row>
    <row r="74" spans="1:11" x14ac:dyDescent="0.35">
      <c r="A74" s="27">
        <f t="shared" si="10"/>
        <v>71</v>
      </c>
      <c r="B74" s="3">
        <v>45260</v>
      </c>
      <c r="C74">
        <v>59404</v>
      </c>
      <c r="E74" s="3">
        <f t="shared" si="9"/>
        <v>45260</v>
      </c>
      <c r="F74" s="39">
        <f t="shared" si="9"/>
        <v>59404</v>
      </c>
      <c r="G74" s="40">
        <f t="shared" si="6"/>
        <v>47172.72777140401</v>
      </c>
      <c r="H74">
        <f t="shared" si="7"/>
        <v>713.73152610700345</v>
      </c>
      <c r="I74" s="40">
        <f t="shared" si="8"/>
        <v>-5080.7018381730559</v>
      </c>
      <c r="J74" s="40">
        <f t="shared" si="3"/>
        <v>39902.731940357626</v>
      </c>
      <c r="K74" s="19">
        <f t="shared" si="5"/>
        <v>-19501.268059642374</v>
      </c>
    </row>
    <row r="75" spans="1:11" x14ac:dyDescent="0.35">
      <c r="A75" s="27">
        <f t="shared" si="10"/>
        <v>72</v>
      </c>
      <c r="B75" s="3">
        <v>45291</v>
      </c>
      <c r="C75">
        <v>52434</v>
      </c>
      <c r="E75" s="3">
        <f t="shared" si="9"/>
        <v>45291</v>
      </c>
      <c r="F75" s="39">
        <f t="shared" si="9"/>
        <v>52434</v>
      </c>
      <c r="G75" s="40">
        <f t="shared" si="6"/>
        <v>47865.019882670727</v>
      </c>
      <c r="H75">
        <f t="shared" si="7"/>
        <v>692.29211126671726</v>
      </c>
      <c r="I75" s="40">
        <f t="shared" si="8"/>
        <v>4880.0765615061982</v>
      </c>
      <c r="J75" s="40">
        <f t="shared" si="3"/>
        <v>52784.438091398319</v>
      </c>
      <c r="K75" s="19">
        <f t="shared" si="5"/>
        <v>350.43809139831865</v>
      </c>
    </row>
    <row r="76" spans="1:11" x14ac:dyDescent="0.35">
      <c r="A76" s="27">
        <f t="shared" si="10"/>
        <v>73</v>
      </c>
      <c r="B76" s="3">
        <v>45322</v>
      </c>
      <c r="C76">
        <v>52855</v>
      </c>
      <c r="E76" s="3">
        <f t="shared" si="9"/>
        <v>45322</v>
      </c>
      <c r="F76" s="39">
        <f t="shared" si="9"/>
        <v>52855</v>
      </c>
      <c r="G76" s="40">
        <f t="shared" si="6"/>
        <v>48999.298891176368</v>
      </c>
      <c r="H76">
        <f t="shared" si="7"/>
        <v>1134.2790085056404</v>
      </c>
      <c r="I76" s="40">
        <f t="shared" si="8"/>
        <v>-2557.7459524938226</v>
      </c>
      <c r="J76" s="40">
        <f t="shared" si="3"/>
        <v>45630.500364851265</v>
      </c>
      <c r="K76" s="19">
        <f t="shared" si="5"/>
        <v>-7224.4996351487353</v>
      </c>
    </row>
    <row r="77" spans="1:11" x14ac:dyDescent="0.35">
      <c r="A77" s="27">
        <f t="shared" si="10"/>
        <v>74</v>
      </c>
      <c r="B77" s="3">
        <v>45351</v>
      </c>
      <c r="C77">
        <v>45697</v>
      </c>
      <c r="E77" s="3">
        <f t="shared" si="9"/>
        <v>45351</v>
      </c>
      <c r="F77" s="39">
        <f t="shared" si="9"/>
        <v>45697</v>
      </c>
      <c r="G77" s="40">
        <f t="shared" si="6"/>
        <v>50622.467883937854</v>
      </c>
      <c r="H77">
        <f t="shared" si="7"/>
        <v>1623.1689927614862</v>
      </c>
      <c r="I77" s="40">
        <f t="shared" si="8"/>
        <v>-12019.501784988674</v>
      </c>
      <c r="J77" s="40">
        <f t="shared" si="3"/>
        <v>37705.845658212012</v>
      </c>
      <c r="K77" s="19">
        <f t="shared" si="5"/>
        <v>-7991.1543417879875</v>
      </c>
    </row>
    <row r="78" spans="1:11" x14ac:dyDescent="0.35">
      <c r="A78" s="27">
        <f t="shared" si="10"/>
        <v>75</v>
      </c>
      <c r="B78" s="3">
        <v>45382</v>
      </c>
      <c r="C78">
        <v>42815</v>
      </c>
      <c r="E78" s="3">
        <f t="shared" si="9"/>
        <v>45382</v>
      </c>
      <c r="F78" s="39">
        <f t="shared" si="9"/>
        <v>42815</v>
      </c>
      <c r="G78" s="40">
        <f t="shared" si="6"/>
        <v>51690.083984837671</v>
      </c>
      <c r="H78">
        <f t="shared" si="7"/>
        <v>1067.616100899817</v>
      </c>
      <c r="I78" s="40">
        <f t="shared" si="8"/>
        <v>-813.73853777877707</v>
      </c>
      <c r="J78" s="40">
        <f t="shared" si="3"/>
        <v>51895.793321325291</v>
      </c>
      <c r="K78" s="19">
        <f t="shared" si="5"/>
        <v>9080.7933213252909</v>
      </c>
    </row>
    <row r="79" spans="1:11" x14ac:dyDescent="0.35">
      <c r="A79" s="27">
        <f t="shared" si="10"/>
        <v>76</v>
      </c>
      <c r="B79" s="3">
        <v>45412</v>
      </c>
      <c r="C79">
        <v>35800</v>
      </c>
      <c r="E79" s="3">
        <f t="shared" si="9"/>
        <v>45412</v>
      </c>
      <c r="F79" s="41">
        <f t="shared" si="9"/>
        <v>35800</v>
      </c>
      <c r="G79" s="42">
        <f t="shared" si="6"/>
        <v>52235.237354648409</v>
      </c>
      <c r="H79" s="29">
        <f t="shared" si="7"/>
        <v>545.15336981073779</v>
      </c>
      <c r="I79" s="42">
        <f t="shared" si="8"/>
        <v>-8854.0464001577075</v>
      </c>
      <c r="J79" s="42">
        <f t="shared" si="3"/>
        <v>44339.917888315744</v>
      </c>
      <c r="K79" s="19">
        <f t="shared" si="5"/>
        <v>8539.9178883157438</v>
      </c>
    </row>
    <row r="80" spans="1:11" x14ac:dyDescent="0.35">
      <c r="A80" s="27">
        <f t="shared" si="10"/>
        <v>77</v>
      </c>
      <c r="B80" s="3">
        <v>45443</v>
      </c>
    </row>
    <row r="81" spans="1:12" x14ac:dyDescent="0.35">
      <c r="A81" s="27">
        <f t="shared" si="10"/>
        <v>78</v>
      </c>
      <c r="B81" s="3">
        <v>45473</v>
      </c>
    </row>
    <row r="82" spans="1:12" x14ac:dyDescent="0.35">
      <c r="F82" s="22" t="s">
        <v>28</v>
      </c>
      <c r="G82" s="22" t="s">
        <v>51</v>
      </c>
      <c r="H82" s="22" t="s">
        <v>52</v>
      </c>
      <c r="I82" s="22" t="s">
        <v>36</v>
      </c>
      <c r="J82" s="22" t="s">
        <v>40</v>
      </c>
      <c r="K82" s="22" t="s">
        <v>38</v>
      </c>
      <c r="L82" s="22" t="s">
        <v>41</v>
      </c>
    </row>
    <row r="83" spans="1:12" x14ac:dyDescent="0.35">
      <c r="F83" s="30">
        <v>6.1178893980222721E-2</v>
      </c>
      <c r="G83" s="31">
        <v>1</v>
      </c>
      <c r="H83" s="32">
        <v>5.4414299073781633E-2</v>
      </c>
      <c r="I83" s="43" cm="1">
        <f t="array" ref="I83">SUMPRODUCT(ABS(F56:F67-J56:J67))/COUNT(J56:J67)</f>
        <v>6350.1827713792736</v>
      </c>
      <c r="J83" s="44">
        <f>(SUMXMY2(F56:F67,J56:J67)/COUNT(J56:J67))^0.5</f>
        <v>6746.6563159445686</v>
      </c>
      <c r="K83" s="84" cm="1">
        <f t="array" ref="K83">SUMPRODUCT(ABS(1-J56:J67/F56:F67))/COUNT(J56:J67)</f>
        <v>0.16751914183325303</v>
      </c>
      <c r="L83" s="19" cm="1">
        <f t="array" ref="L83">SUM(J56:J67-F56:F67)</f>
        <v>-7136.4830618590349</v>
      </c>
    </row>
    <row r="85" spans="1:12" x14ac:dyDescent="0.35">
      <c r="F85" s="46"/>
      <c r="G85" s="46"/>
      <c r="H85" s="46"/>
      <c r="I85" s="46"/>
      <c r="J85" s="46"/>
      <c r="K85" s="46"/>
      <c r="L85" s="46"/>
    </row>
    <row r="86" spans="1:12" x14ac:dyDescent="0.35">
      <c r="E86" t="s">
        <v>55</v>
      </c>
      <c r="F86" s="46">
        <v>3.650331344082372E-2</v>
      </c>
      <c r="G86" s="46">
        <v>0.27657965925100292</v>
      </c>
      <c r="H86" s="46">
        <v>0.90549411766521992</v>
      </c>
      <c r="I86" s="46">
        <v>5526.7517154867237</v>
      </c>
      <c r="J86" s="46">
        <v>6895.4937223013203</v>
      </c>
      <c r="K86" s="46">
        <v>0.12252374158289313</v>
      </c>
      <c r="L86" s="47">
        <v>9056.5997725043926</v>
      </c>
    </row>
    <row r="87" spans="1:12" x14ac:dyDescent="0.35">
      <c r="F87" s="46"/>
      <c r="G87" s="46"/>
      <c r="H87" s="46"/>
      <c r="I87" s="46"/>
      <c r="J87" s="46"/>
      <c r="K87" s="46"/>
      <c r="L87" s="46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ECE6-4FA2-45EF-88AA-98066FD99329}">
  <sheetPr>
    <tabColor rgb="FF92D050"/>
  </sheetPr>
  <dimension ref="A1:M84"/>
  <sheetViews>
    <sheetView topLeftCell="A67" zoomScale="98" zoomScaleNormal="98" workbookViewId="0">
      <selection activeCell="I84" sqref="I84"/>
    </sheetView>
  </sheetViews>
  <sheetFormatPr defaultRowHeight="14.5" x14ac:dyDescent="0.35"/>
  <cols>
    <col min="2" max="2" width="10.6328125" bestFit="1" customWidth="1"/>
    <col min="5" max="5" width="14.08984375" customWidth="1"/>
    <col min="7" max="8" width="8.7265625" customWidth="1"/>
    <col min="9" max="9" width="8.81640625" customWidth="1"/>
    <col min="10" max="10" width="12.26953125" bestFit="1" customWidth="1"/>
    <col min="12" max="12" width="10.1796875" bestFit="1" customWidth="1"/>
  </cols>
  <sheetData>
    <row r="1" spans="1:10" x14ac:dyDescent="0.35">
      <c r="A1" s="24" t="s">
        <v>42</v>
      </c>
      <c r="E1" s="24" t="s">
        <v>58</v>
      </c>
    </row>
    <row r="2" spans="1:10" ht="15" thickBot="1" x14ac:dyDescent="0.4"/>
    <row r="3" spans="1:10" ht="15" thickTop="1" x14ac:dyDescent="0.35">
      <c r="A3" s="25" t="s">
        <v>44</v>
      </c>
      <c r="B3" s="25" t="s">
        <v>45</v>
      </c>
      <c r="C3" s="25" t="s">
        <v>46</v>
      </c>
      <c r="E3" s="26" t="str">
        <f>B3</f>
        <v>qtr</v>
      </c>
      <c r="F3" s="26" t="s">
        <v>76</v>
      </c>
      <c r="G3" s="26" t="s">
        <v>47</v>
      </c>
      <c r="H3" s="26" t="s">
        <v>48</v>
      </c>
      <c r="I3" s="26" t="s">
        <v>49</v>
      </c>
      <c r="J3" s="26" t="s">
        <v>50</v>
      </c>
    </row>
    <row r="4" spans="1:10" x14ac:dyDescent="0.35">
      <c r="A4" s="27">
        <v>1</v>
      </c>
      <c r="B4" s="3">
        <v>43131</v>
      </c>
      <c r="C4" s="34">
        <v>34890</v>
      </c>
      <c r="E4" s="3">
        <f>B4</f>
        <v>43131</v>
      </c>
      <c r="F4">
        <f>C4</f>
        <v>34890</v>
      </c>
      <c r="I4" s="49">
        <f>F4/AVERAGE($F$4:$F$15)</f>
        <v>0.83059398142729324</v>
      </c>
    </row>
    <row r="5" spans="1:10" x14ac:dyDescent="0.35">
      <c r="A5" s="27">
        <f>A4+1</f>
        <v>2</v>
      </c>
      <c r="B5" s="3">
        <v>43159</v>
      </c>
      <c r="C5" s="34">
        <v>25830</v>
      </c>
      <c r="E5" s="3">
        <f t="shared" ref="E5:F20" si="0">B5</f>
        <v>43159</v>
      </c>
      <c r="F5">
        <f t="shared" si="0"/>
        <v>25830</v>
      </c>
      <c r="I5" s="49">
        <f t="shared" ref="I5:I15" si="1">F5/AVERAGE($F$4:$F$15)</f>
        <v>0.61491093551926013</v>
      </c>
    </row>
    <row r="6" spans="1:10" x14ac:dyDescent="0.35">
      <c r="A6" s="27">
        <f t="shared" ref="A6:A69" si="2">A5+1</f>
        <v>3</v>
      </c>
      <c r="B6" s="3">
        <v>43190</v>
      </c>
      <c r="C6" s="34">
        <v>41054</v>
      </c>
      <c r="E6" s="3">
        <f t="shared" si="0"/>
        <v>43190</v>
      </c>
      <c r="F6">
        <f t="shared" si="0"/>
        <v>41054</v>
      </c>
      <c r="I6" s="49">
        <f t="shared" si="1"/>
        <v>0.9773346320870191</v>
      </c>
    </row>
    <row r="7" spans="1:10" x14ac:dyDescent="0.35">
      <c r="A7" s="27">
        <f t="shared" si="2"/>
        <v>4</v>
      </c>
      <c r="B7" s="3">
        <v>43220</v>
      </c>
      <c r="C7" s="34">
        <v>36838</v>
      </c>
      <c r="E7" s="3">
        <f t="shared" si="0"/>
        <v>43220</v>
      </c>
      <c r="F7">
        <f t="shared" si="0"/>
        <v>36838</v>
      </c>
      <c r="I7" s="49">
        <f t="shared" si="1"/>
        <v>0.87696821690509108</v>
      </c>
    </row>
    <row r="8" spans="1:10" x14ac:dyDescent="0.35">
      <c r="A8" s="27">
        <f t="shared" si="2"/>
        <v>5</v>
      </c>
      <c r="B8" s="3">
        <v>43251</v>
      </c>
      <c r="C8" s="34">
        <v>56808</v>
      </c>
      <c r="E8" s="3">
        <f t="shared" si="0"/>
        <v>43251</v>
      </c>
      <c r="F8">
        <f t="shared" si="0"/>
        <v>56808</v>
      </c>
      <c r="I8" s="49">
        <f t="shared" si="1"/>
        <v>1.3523755487796409</v>
      </c>
    </row>
    <row r="9" spans="1:10" x14ac:dyDescent="0.35">
      <c r="A9" s="27">
        <f t="shared" si="2"/>
        <v>6</v>
      </c>
      <c r="B9" s="3">
        <v>43281</v>
      </c>
      <c r="C9" s="34">
        <v>34939</v>
      </c>
      <c r="E9" s="3">
        <f t="shared" si="0"/>
        <v>43281</v>
      </c>
      <c r="F9">
        <f t="shared" si="0"/>
        <v>34939</v>
      </c>
      <c r="I9" s="49">
        <f t="shared" si="1"/>
        <v>0.83176047913695039</v>
      </c>
    </row>
    <row r="10" spans="1:10" x14ac:dyDescent="0.35">
      <c r="A10" s="27">
        <f t="shared" si="2"/>
        <v>7</v>
      </c>
      <c r="B10" s="3">
        <v>43312</v>
      </c>
      <c r="C10" s="34">
        <v>41853</v>
      </c>
      <c r="E10" s="3">
        <f t="shared" si="0"/>
        <v>43312</v>
      </c>
      <c r="F10">
        <f t="shared" si="0"/>
        <v>41853</v>
      </c>
      <c r="I10" s="49">
        <f t="shared" si="1"/>
        <v>0.99635568657714257</v>
      </c>
    </row>
    <row r="11" spans="1:10" x14ac:dyDescent="0.35">
      <c r="A11" s="27">
        <f t="shared" si="2"/>
        <v>8</v>
      </c>
      <c r="B11" s="3">
        <v>43343</v>
      </c>
      <c r="C11" s="34">
        <v>58036</v>
      </c>
      <c r="E11" s="3">
        <f t="shared" si="0"/>
        <v>43343</v>
      </c>
      <c r="F11">
        <f t="shared" si="0"/>
        <v>58036</v>
      </c>
      <c r="I11" s="49">
        <f t="shared" si="1"/>
        <v>1.3816094097481912</v>
      </c>
    </row>
    <row r="12" spans="1:10" x14ac:dyDescent="0.35">
      <c r="A12" s="27">
        <f t="shared" si="2"/>
        <v>9</v>
      </c>
      <c r="B12" s="3">
        <v>43373</v>
      </c>
      <c r="C12" s="34">
        <v>42879</v>
      </c>
      <c r="E12" s="3">
        <f t="shared" si="0"/>
        <v>43373</v>
      </c>
      <c r="F12">
        <f t="shared" si="0"/>
        <v>42879</v>
      </c>
      <c r="I12" s="49">
        <f t="shared" si="1"/>
        <v>1.0207807202528205</v>
      </c>
    </row>
    <row r="13" spans="1:10" x14ac:dyDescent="0.35">
      <c r="A13" s="27">
        <f t="shared" si="2"/>
        <v>10</v>
      </c>
      <c r="B13" s="3">
        <v>43404</v>
      </c>
      <c r="C13" s="34">
        <v>54081</v>
      </c>
      <c r="E13" s="3">
        <f t="shared" si="0"/>
        <v>43404</v>
      </c>
      <c r="F13">
        <f t="shared" si="0"/>
        <v>54081</v>
      </c>
      <c r="I13" s="49">
        <f t="shared" si="1"/>
        <v>1.2874563803258654</v>
      </c>
    </row>
    <row r="14" spans="1:10" x14ac:dyDescent="0.35">
      <c r="A14" s="27">
        <f t="shared" si="2"/>
        <v>11</v>
      </c>
      <c r="B14" s="3">
        <v>43434</v>
      </c>
      <c r="C14" s="34">
        <v>31764</v>
      </c>
      <c r="E14" s="3">
        <f t="shared" si="0"/>
        <v>43434</v>
      </c>
      <c r="F14">
        <f t="shared" si="0"/>
        <v>31764</v>
      </c>
      <c r="I14" s="49">
        <f t="shared" si="1"/>
        <v>0.75617618876630954</v>
      </c>
    </row>
    <row r="15" spans="1:10" x14ac:dyDescent="0.35">
      <c r="A15" s="27">
        <f t="shared" si="2"/>
        <v>12</v>
      </c>
      <c r="B15" s="3">
        <v>43465</v>
      </c>
      <c r="C15" s="34">
        <v>45101</v>
      </c>
      <c r="E15" s="3">
        <f t="shared" si="0"/>
        <v>43465</v>
      </c>
      <c r="F15">
        <f t="shared" si="0"/>
        <v>45101</v>
      </c>
      <c r="G15" s="49">
        <f>F15/I15</f>
        <v>42006.083333333336</v>
      </c>
      <c r="H15" s="49">
        <f>(AVERAGE(F16:F27)-AVERAGE(F4:F15))/12</f>
        <v>3906.0208333333326</v>
      </c>
      <c r="I15" s="49">
        <f t="shared" si="1"/>
        <v>1.0736778204744153</v>
      </c>
    </row>
    <row r="16" spans="1:10" x14ac:dyDescent="0.35">
      <c r="A16" s="27">
        <f t="shared" si="2"/>
        <v>13</v>
      </c>
      <c r="B16" s="3">
        <v>43496</v>
      </c>
      <c r="C16" s="34">
        <v>61974</v>
      </c>
      <c r="E16" s="3">
        <f t="shared" si="0"/>
        <v>43496</v>
      </c>
      <c r="F16">
        <f t="shared" si="0"/>
        <v>61974</v>
      </c>
      <c r="G16">
        <f>$F$84*F16/I4+(1-$F$84)*(G15+H15)</f>
        <v>60418.531604011208</v>
      </c>
      <c r="H16">
        <f>$G$84*(G16-G15)+(1-$G$84)*H15</f>
        <v>4736.7410860644623</v>
      </c>
      <c r="I16">
        <f>$H$84*(F16/G16)+(1-$H$84)*I4</f>
        <v>0.87847279692092539</v>
      </c>
      <c r="J16" s="50">
        <f>(G15+H15)*I4</f>
        <v>38134.317395496291</v>
      </c>
    </row>
    <row r="17" spans="1:10" x14ac:dyDescent="0.35">
      <c r="A17" s="27">
        <f t="shared" si="2"/>
        <v>14</v>
      </c>
      <c r="B17" s="3">
        <v>43524</v>
      </c>
      <c r="C17" s="34">
        <v>37927</v>
      </c>
      <c r="E17" s="3">
        <f t="shared" si="0"/>
        <v>43524</v>
      </c>
      <c r="F17">
        <f t="shared" si="0"/>
        <v>37927</v>
      </c>
      <c r="G17">
        <f t="shared" ref="G17:G79" si="3">$F$84*F17/I5+(1-$F$84)*(G16+H16)</f>
        <v>63398.234401148628</v>
      </c>
      <c r="H17">
        <f>$G$84*(G17-G16)+(1-$G$84)*H16</f>
        <v>4636.1231153242497</v>
      </c>
      <c r="I17">
        <f t="shared" ref="I17:I79" si="4">$H$84*(F17/G17)+(1-$H$84)*I5</f>
        <v>0.61081945400992077</v>
      </c>
      <c r="J17" s="50">
        <f t="shared" ref="J17:J79" si="5">(G16+H16)*I5</f>
        <v>40064.689683866927</v>
      </c>
    </row>
    <row r="18" spans="1:10" x14ac:dyDescent="0.35">
      <c r="A18" s="27">
        <f t="shared" si="2"/>
        <v>15</v>
      </c>
      <c r="B18" s="3">
        <v>43555</v>
      </c>
      <c r="C18" s="34">
        <v>59679</v>
      </c>
      <c r="E18" s="3">
        <f t="shared" si="0"/>
        <v>43555</v>
      </c>
      <c r="F18">
        <f t="shared" si="0"/>
        <v>59679</v>
      </c>
      <c r="G18">
        <f t="shared" si="3"/>
        <v>64510.931496948047</v>
      </c>
      <c r="H18">
        <f>$G$84*(G18-G17)+(1-$G$84)*H17</f>
        <v>4434.3517718241919</v>
      </c>
      <c r="I18">
        <f t="shared" si="4"/>
        <v>0.96451901725196065</v>
      </c>
      <c r="J18" s="50">
        <f t="shared" si="5"/>
        <v>66492.33377263874</v>
      </c>
    </row>
    <row r="19" spans="1:10" x14ac:dyDescent="0.35">
      <c r="A19" s="27">
        <f t="shared" si="2"/>
        <v>16</v>
      </c>
      <c r="B19" s="3">
        <v>43585</v>
      </c>
      <c r="C19" s="34">
        <v>56163</v>
      </c>
      <c r="E19" s="3">
        <f t="shared" si="0"/>
        <v>43585</v>
      </c>
      <c r="F19">
        <f t="shared" si="0"/>
        <v>56163</v>
      </c>
      <c r="G19">
        <f t="shared" si="3"/>
        <v>66467.202726629694</v>
      </c>
      <c r="H19">
        <f>$G$84*(G19-G18)+(1-$G$84)*H18</f>
        <v>4292.4428350340604</v>
      </c>
      <c r="I19">
        <f t="shared" si="4"/>
        <v>0.86911846043319563</v>
      </c>
      <c r="J19" s="50">
        <f t="shared" si="5"/>
        <v>60462.822132231602</v>
      </c>
    </row>
    <row r="20" spans="1:10" x14ac:dyDescent="0.35">
      <c r="A20" s="27">
        <f t="shared" si="2"/>
        <v>17</v>
      </c>
      <c r="B20" s="3">
        <v>43616</v>
      </c>
      <c r="C20" s="34">
        <v>118501</v>
      </c>
      <c r="E20" s="3">
        <f t="shared" si="0"/>
        <v>43616</v>
      </c>
      <c r="F20">
        <f t="shared" si="0"/>
        <v>118501</v>
      </c>
      <c r="G20">
        <f t="shared" si="3"/>
        <v>79283.322366124936</v>
      </c>
      <c r="H20">
        <f t="shared" ref="H20:H79" si="6">$G$84*(G20-G19)+(1-$G$84)*H19</f>
        <v>4780.556878259621</v>
      </c>
      <c r="I20">
        <f t="shared" si="4"/>
        <v>1.3872820850884278</v>
      </c>
      <c r="J20" s="50">
        <f t="shared" si="5"/>
        <v>95693.614497907911</v>
      </c>
    </row>
    <row r="21" spans="1:10" x14ac:dyDescent="0.35">
      <c r="A21" s="27">
        <f t="shared" si="2"/>
        <v>18</v>
      </c>
      <c r="B21" s="3">
        <v>43646</v>
      </c>
      <c r="C21" s="34">
        <v>78698</v>
      </c>
      <c r="E21" s="3">
        <f t="shared" ref="E21:F81" si="7">B21</f>
        <v>43646</v>
      </c>
      <c r="F21">
        <f t="shared" si="7"/>
        <v>78698</v>
      </c>
      <c r="G21">
        <f t="shared" si="3"/>
        <v>89397.178838765743</v>
      </c>
      <c r="H21">
        <f t="shared" si="6"/>
        <v>5085.9718404252599</v>
      </c>
      <c r="I21">
        <f t="shared" si="4"/>
        <v>0.84367385275003781</v>
      </c>
      <c r="J21" s="50">
        <f t="shared" si="5"/>
        <v>69921.012478420045</v>
      </c>
    </row>
    <row r="22" spans="1:10" x14ac:dyDescent="0.35">
      <c r="A22" s="27">
        <f t="shared" si="2"/>
        <v>19</v>
      </c>
      <c r="B22" s="3">
        <v>43677</v>
      </c>
      <c r="C22" s="34">
        <v>109530</v>
      </c>
      <c r="E22" s="3">
        <f t="shared" si="7"/>
        <v>43677</v>
      </c>
      <c r="F22">
        <f t="shared" si="7"/>
        <v>109530</v>
      </c>
      <c r="G22">
        <f t="shared" si="3"/>
        <v>102290.54596774068</v>
      </c>
      <c r="H22">
        <f t="shared" si="6"/>
        <v>5533.0675444012249</v>
      </c>
      <c r="I22">
        <f t="shared" si="4"/>
        <v>1.0146135262585698</v>
      </c>
      <c r="J22" s="50">
        <f t="shared" si="5"/>
        <v>94138.824464936974</v>
      </c>
    </row>
    <row r="23" spans="1:10" x14ac:dyDescent="0.35">
      <c r="A23" s="27">
        <f t="shared" si="2"/>
        <v>20</v>
      </c>
      <c r="B23" s="3">
        <v>43708</v>
      </c>
      <c r="C23" s="34">
        <v>116775</v>
      </c>
      <c r="E23" s="3">
        <f t="shared" si="7"/>
        <v>43708</v>
      </c>
      <c r="F23">
        <f t="shared" si="7"/>
        <v>116775</v>
      </c>
      <c r="G23">
        <f t="shared" si="3"/>
        <v>96046.102111035274</v>
      </c>
      <c r="H23">
        <f t="shared" si="6"/>
        <v>4858.6204905053683</v>
      </c>
      <c r="I23">
        <f t="shared" si="4"/>
        <v>1.3409348008953235</v>
      </c>
      <c r="J23" s="50">
        <f t="shared" si="5"/>
        <v>148970.11902142747</v>
      </c>
    </row>
    <row r="24" spans="1:10" x14ac:dyDescent="0.35">
      <c r="A24" s="27">
        <f t="shared" si="2"/>
        <v>21</v>
      </c>
      <c r="B24" s="3">
        <v>43738</v>
      </c>
      <c r="C24" s="34">
        <v>115435</v>
      </c>
      <c r="E24" s="3">
        <f t="shared" si="7"/>
        <v>43738</v>
      </c>
      <c r="F24">
        <f t="shared" si="7"/>
        <v>115435</v>
      </c>
      <c r="G24">
        <f t="shared" si="3"/>
        <v>107060.83283539329</v>
      </c>
      <c r="H24">
        <f t="shared" si="6"/>
        <v>5211.1542533077481</v>
      </c>
      <c r="I24">
        <f t="shared" si="4"/>
        <v>1.0348727172860792</v>
      </c>
      <c r="J24" s="50">
        <f t="shared" si="5"/>
        <v>103001.59541411173</v>
      </c>
    </row>
    <row r="25" spans="1:10" x14ac:dyDescent="0.35">
      <c r="A25" s="27">
        <f t="shared" si="2"/>
        <v>22</v>
      </c>
      <c r="B25" s="3">
        <v>43769</v>
      </c>
      <c r="C25" s="34">
        <v>100006</v>
      </c>
      <c r="E25" s="3">
        <f t="shared" si="7"/>
        <v>43769</v>
      </c>
      <c r="F25">
        <f t="shared" si="7"/>
        <v>100006</v>
      </c>
      <c r="G25">
        <f t="shared" si="3"/>
        <v>94787.233803345604</v>
      </c>
      <c r="H25">
        <f t="shared" si="6"/>
        <v>4209.878182346285</v>
      </c>
      <c r="I25">
        <f t="shared" si="4"/>
        <v>1.2304391001285431</v>
      </c>
      <c r="J25" s="50">
        <f t="shared" si="5"/>
        <v>144545.28610921133</v>
      </c>
    </row>
    <row r="26" spans="1:10" x14ac:dyDescent="0.35">
      <c r="A26" s="27">
        <f t="shared" si="2"/>
        <v>23</v>
      </c>
      <c r="B26" s="3">
        <v>43799</v>
      </c>
      <c r="C26" s="34">
        <v>105375</v>
      </c>
      <c r="E26" s="3">
        <f t="shared" si="7"/>
        <v>43799</v>
      </c>
      <c r="F26">
        <f t="shared" si="7"/>
        <v>105375</v>
      </c>
      <c r="G26">
        <f t="shared" si="3"/>
        <v>119393.33281973947</v>
      </c>
      <c r="H26">
        <f t="shared" si="6"/>
        <v>5377.8813863881978</v>
      </c>
      <c r="I26">
        <f t="shared" si="4"/>
        <v>0.78719012870981464</v>
      </c>
      <c r="J26" s="50">
        <f t="shared" si="5"/>
        <v>74859.258840212031</v>
      </c>
    </row>
    <row r="27" spans="1:10" x14ac:dyDescent="0.35">
      <c r="A27" s="27">
        <f t="shared" si="2"/>
        <v>24</v>
      </c>
      <c r="B27" s="3">
        <v>43830</v>
      </c>
      <c r="C27" s="34">
        <v>106477</v>
      </c>
      <c r="E27" s="3">
        <f t="shared" si="7"/>
        <v>43830</v>
      </c>
      <c r="F27">
        <f t="shared" si="7"/>
        <v>106477</v>
      </c>
      <c r="G27">
        <f t="shared" si="3"/>
        <v>111832.13147713884</v>
      </c>
      <c r="H27">
        <f t="shared" si="6"/>
        <v>4636.9161748528213</v>
      </c>
      <c r="I27">
        <f t="shared" si="4"/>
        <v>1.0438531823578872</v>
      </c>
      <c r="J27" s="50">
        <f t="shared" si="5"/>
        <v>133964.08532678155</v>
      </c>
    </row>
    <row r="28" spans="1:10" x14ac:dyDescent="0.35">
      <c r="A28" s="27">
        <f t="shared" si="2"/>
        <v>25</v>
      </c>
      <c r="B28" s="3">
        <v>43861</v>
      </c>
      <c r="C28" s="34">
        <v>82087</v>
      </c>
      <c r="E28" s="3">
        <f t="shared" si="7"/>
        <v>43861</v>
      </c>
      <c r="F28">
        <f t="shared" si="7"/>
        <v>82087</v>
      </c>
      <c r="G28">
        <f t="shared" si="3"/>
        <v>104831.24341585522</v>
      </c>
      <c r="H28">
        <f t="shared" si="6"/>
        <v>3970.4695450375079</v>
      </c>
      <c r="I28">
        <f t="shared" si="4"/>
        <v>0.85505894098595547</v>
      </c>
      <c r="J28" s="50">
        <f t="shared" si="5"/>
        <v>102314.89004556167</v>
      </c>
    </row>
    <row r="29" spans="1:10" x14ac:dyDescent="0.35">
      <c r="A29" s="27">
        <f t="shared" si="2"/>
        <v>26</v>
      </c>
      <c r="B29" s="3">
        <v>43890</v>
      </c>
      <c r="C29" s="34">
        <v>90055</v>
      </c>
      <c r="E29" s="3">
        <f t="shared" si="7"/>
        <v>43890</v>
      </c>
      <c r="F29">
        <f t="shared" si="7"/>
        <v>90055</v>
      </c>
      <c r="G29">
        <f t="shared" si="3"/>
        <v>128326.62016224716</v>
      </c>
      <c r="H29">
        <f t="shared" si="6"/>
        <v>5088.576392151761</v>
      </c>
      <c r="I29">
        <f t="shared" si="4"/>
        <v>0.63313201377164308</v>
      </c>
      <c r="J29" s="50">
        <f t="shared" si="5"/>
        <v>66458.202906116625</v>
      </c>
    </row>
    <row r="30" spans="1:10" x14ac:dyDescent="0.35">
      <c r="A30" s="27">
        <f t="shared" si="2"/>
        <v>27</v>
      </c>
      <c r="B30" s="3">
        <v>43921</v>
      </c>
      <c r="C30" s="34">
        <v>77921</v>
      </c>
      <c r="E30" s="3">
        <f t="shared" si="7"/>
        <v>43921</v>
      </c>
      <c r="F30">
        <f t="shared" si="7"/>
        <v>77921</v>
      </c>
      <c r="G30">
        <f t="shared" si="3"/>
        <v>106816.28728337641</v>
      </c>
      <c r="H30">
        <f t="shared" si="6"/>
        <v>3565.3720934067214</v>
      </c>
      <c r="I30">
        <f t="shared" si="4"/>
        <v>0.90685545631000331</v>
      </c>
      <c r="J30" s="50">
        <f t="shared" si="5"/>
        <v>128681.49426712602</v>
      </c>
    </row>
    <row r="31" spans="1:10" x14ac:dyDescent="0.35">
      <c r="A31" s="27">
        <f t="shared" si="2"/>
        <v>28</v>
      </c>
      <c r="B31" s="3">
        <v>43951</v>
      </c>
      <c r="C31" s="41">
        <v>31224</v>
      </c>
      <c r="E31" s="3">
        <f t="shared" si="7"/>
        <v>43951</v>
      </c>
      <c r="F31">
        <f t="shared" si="7"/>
        <v>31224</v>
      </c>
      <c r="G31">
        <f t="shared" si="3"/>
        <v>72750.624831975598</v>
      </c>
      <c r="H31">
        <f t="shared" si="6"/>
        <v>1410.4057750201459</v>
      </c>
      <c r="I31">
        <f t="shared" si="4"/>
        <v>0.76118584059226069</v>
      </c>
      <c r="J31" s="50">
        <f t="shared" si="5"/>
        <v>95934.737857611166</v>
      </c>
    </row>
    <row r="32" spans="1:10" x14ac:dyDescent="0.35">
      <c r="A32" s="27">
        <f t="shared" si="2"/>
        <v>29</v>
      </c>
      <c r="B32" s="3">
        <v>43982</v>
      </c>
      <c r="C32" s="39">
        <v>23641</v>
      </c>
      <c r="E32" s="3">
        <f t="shared" si="7"/>
        <v>43982</v>
      </c>
      <c r="F32">
        <f t="shared" si="7"/>
        <v>23641</v>
      </c>
      <c r="G32">
        <f t="shared" si="3"/>
        <v>45291.785643423704</v>
      </c>
      <c r="H32">
        <f t="shared" si="6"/>
        <v>-242.81081299771631</v>
      </c>
      <c r="I32">
        <f t="shared" si="4"/>
        <v>1.1749844901279536</v>
      </c>
      <c r="J32" s="50">
        <f t="shared" si="5"/>
        <v>102882.26917277976</v>
      </c>
    </row>
    <row r="33" spans="1:10" x14ac:dyDescent="0.35">
      <c r="A33" s="27">
        <f t="shared" si="2"/>
        <v>30</v>
      </c>
      <c r="B33" s="3">
        <v>44012</v>
      </c>
      <c r="C33">
        <v>36735</v>
      </c>
      <c r="E33" s="3">
        <f t="shared" si="7"/>
        <v>44012</v>
      </c>
      <c r="F33">
        <f t="shared" si="7"/>
        <v>36735</v>
      </c>
      <c r="G33">
        <f t="shared" si="3"/>
        <v>44287.178092856229</v>
      </c>
      <c r="H33">
        <f t="shared" si="6"/>
        <v>-286.43561180479895</v>
      </c>
      <c r="I33">
        <f t="shared" si="4"/>
        <v>0.84018967740482564</v>
      </c>
      <c r="J33" s="50">
        <f t="shared" si="5"/>
        <v>38006.64215762497</v>
      </c>
    </row>
    <row r="34" spans="1:10" x14ac:dyDescent="0.35">
      <c r="A34" s="27">
        <f t="shared" si="2"/>
        <v>31</v>
      </c>
      <c r="B34" s="3">
        <v>44043</v>
      </c>
      <c r="C34">
        <v>44506</v>
      </c>
      <c r="E34" s="3">
        <f t="shared" si="7"/>
        <v>44043</v>
      </c>
      <c r="F34">
        <f t="shared" si="7"/>
        <v>44506</v>
      </c>
      <c r="G34">
        <f t="shared" si="3"/>
        <v>43932.124968664619</v>
      </c>
      <c r="H34">
        <f t="shared" si="6"/>
        <v>-290.36503946560339</v>
      </c>
      <c r="I34">
        <f t="shared" si="4"/>
        <v>1.0142330586219244</v>
      </c>
      <c r="J34" s="50">
        <f t="shared" si="5"/>
        <v>44643.748486694843</v>
      </c>
    </row>
    <row r="35" spans="1:10" x14ac:dyDescent="0.35">
      <c r="A35" s="27">
        <f t="shared" si="2"/>
        <v>32</v>
      </c>
      <c r="B35" s="3">
        <v>44074</v>
      </c>
      <c r="C35">
        <v>55883</v>
      </c>
      <c r="E35" s="3">
        <f t="shared" si="7"/>
        <v>44074</v>
      </c>
      <c r="F35">
        <f t="shared" si="7"/>
        <v>55883</v>
      </c>
      <c r="G35">
        <f t="shared" si="3"/>
        <v>42647.555902148844</v>
      </c>
      <c r="H35">
        <f t="shared" si="6"/>
        <v>-347.2987968765604</v>
      </c>
      <c r="I35">
        <f t="shared" si="4"/>
        <v>1.3334297550991721</v>
      </c>
      <c r="J35" s="50">
        <f t="shared" si="5"/>
        <v>58520.75466138198</v>
      </c>
    </row>
    <row r="36" spans="1:10" x14ac:dyDescent="0.35">
      <c r="A36" s="27">
        <f t="shared" si="2"/>
        <v>33</v>
      </c>
      <c r="B36" s="3">
        <v>44104</v>
      </c>
      <c r="C36">
        <v>68914</v>
      </c>
      <c r="E36" s="3">
        <f t="shared" si="7"/>
        <v>44104</v>
      </c>
      <c r="F36">
        <f t="shared" si="7"/>
        <v>68914</v>
      </c>
      <c r="G36">
        <f t="shared" si="3"/>
        <v>54577.567661577297</v>
      </c>
      <c r="H36">
        <f t="shared" si="6"/>
        <v>355.76958934350193</v>
      </c>
      <c r="I36">
        <f t="shared" si="4"/>
        <v>1.0907635160369256</v>
      </c>
      <c r="J36" s="50">
        <f t="shared" si="5"/>
        <v>43775.382012432907</v>
      </c>
    </row>
    <row r="37" spans="1:10" x14ac:dyDescent="0.35">
      <c r="A37" s="27">
        <f t="shared" si="2"/>
        <v>34</v>
      </c>
      <c r="B37" s="3">
        <v>44135</v>
      </c>
      <c r="C37">
        <v>47439</v>
      </c>
      <c r="E37" s="3">
        <f t="shared" si="7"/>
        <v>44135</v>
      </c>
      <c r="F37">
        <f t="shared" si="7"/>
        <v>47439</v>
      </c>
      <c r="G37">
        <f t="shared" si="3"/>
        <v>46655.229430195686</v>
      </c>
      <c r="H37">
        <f t="shared" si="6"/>
        <v>-118.2817820689433</v>
      </c>
      <c r="I37">
        <f t="shared" si="4"/>
        <v>1.178024148840358</v>
      </c>
      <c r="J37" s="50">
        <f t="shared" si="5"/>
        <v>67592.126054080756</v>
      </c>
    </row>
    <row r="38" spans="1:10" x14ac:dyDescent="0.35">
      <c r="A38" s="27">
        <f t="shared" si="2"/>
        <v>35</v>
      </c>
      <c r="B38" s="3">
        <v>44165</v>
      </c>
      <c r="C38">
        <v>75926</v>
      </c>
      <c r="E38" s="3">
        <f t="shared" si="7"/>
        <v>44165</v>
      </c>
      <c r="F38">
        <f t="shared" si="7"/>
        <v>75926</v>
      </c>
      <c r="G38">
        <f t="shared" si="3"/>
        <v>71764.761813259131</v>
      </c>
      <c r="H38">
        <f t="shared" si="6"/>
        <v>1326.4058399958485</v>
      </c>
      <c r="I38">
        <f t="shared" si="4"/>
        <v>0.85362748289980184</v>
      </c>
      <c r="J38" s="50">
        <f t="shared" si="5"/>
        <v>36633.425808890795</v>
      </c>
    </row>
    <row r="39" spans="1:10" x14ac:dyDescent="0.35">
      <c r="A39" s="27">
        <f t="shared" si="2"/>
        <v>36</v>
      </c>
      <c r="B39" s="3">
        <v>44196</v>
      </c>
      <c r="C39">
        <v>67387</v>
      </c>
      <c r="E39" s="3">
        <f t="shared" si="7"/>
        <v>44196</v>
      </c>
      <c r="F39">
        <f t="shared" si="7"/>
        <v>67387</v>
      </c>
      <c r="G39">
        <f t="shared" si="3"/>
        <v>68777.366159033292</v>
      </c>
      <c r="H39">
        <f t="shared" si="6"/>
        <v>1079.3731172259102</v>
      </c>
      <c r="I39">
        <f t="shared" si="4"/>
        <v>1.02813441995076</v>
      </c>
      <c r="J39" s="50">
        <f t="shared" si="5"/>
        <v>76296.447957104072</v>
      </c>
    </row>
    <row r="40" spans="1:10" x14ac:dyDescent="0.35">
      <c r="A40" s="27">
        <f t="shared" si="2"/>
        <v>37</v>
      </c>
      <c r="B40" s="3">
        <v>44227</v>
      </c>
      <c r="C40">
        <v>60442</v>
      </c>
      <c r="E40" s="3">
        <f t="shared" si="7"/>
        <v>44227</v>
      </c>
      <c r="F40">
        <f t="shared" si="7"/>
        <v>60442</v>
      </c>
      <c r="G40">
        <f t="shared" si="3"/>
        <v>70276.631316841347</v>
      </c>
      <c r="H40">
        <f t="shared" si="6"/>
        <v>1103.4185152798946</v>
      </c>
      <c r="I40">
        <f t="shared" si="4"/>
        <v>0.85628549611567983</v>
      </c>
      <c r="J40" s="50">
        <f t="shared" si="5"/>
        <v>59731.629506290199</v>
      </c>
    </row>
    <row r="41" spans="1:10" x14ac:dyDescent="0.35">
      <c r="A41" s="27">
        <f t="shared" si="2"/>
        <v>38</v>
      </c>
      <c r="B41" s="3">
        <v>44255</v>
      </c>
      <c r="C41">
        <v>63811</v>
      </c>
      <c r="E41" s="3">
        <f t="shared" si="7"/>
        <v>44255</v>
      </c>
      <c r="F41">
        <f t="shared" si="7"/>
        <v>63811</v>
      </c>
      <c r="G41">
        <f t="shared" si="3"/>
        <v>86242.405727106598</v>
      </c>
      <c r="H41">
        <f t="shared" si="6"/>
        <v>1954.5212487811964</v>
      </c>
      <c r="I41">
        <f t="shared" si="4"/>
        <v>0.65932743471999722</v>
      </c>
      <c r="J41" s="50">
        <f t="shared" si="5"/>
        <v>45192.994693331151</v>
      </c>
    </row>
    <row r="42" spans="1:10" x14ac:dyDescent="0.35">
      <c r="A42" s="27">
        <f t="shared" si="2"/>
        <v>39</v>
      </c>
      <c r="B42" s="3">
        <v>44286</v>
      </c>
      <c r="C42">
        <v>55821</v>
      </c>
      <c r="E42" s="3">
        <f t="shared" si="7"/>
        <v>44286</v>
      </c>
      <c r="F42">
        <f t="shared" si="7"/>
        <v>55821</v>
      </c>
      <c r="G42">
        <f t="shared" si="3"/>
        <v>74731.405423053264</v>
      </c>
      <c r="H42">
        <f t="shared" si="6"/>
        <v>1183.4091665099722</v>
      </c>
      <c r="I42">
        <f t="shared" si="4"/>
        <v>0.86762508544344774</v>
      </c>
      <c r="J42" s="50">
        <f t="shared" si="5"/>
        <v>79981.86445785877</v>
      </c>
    </row>
    <row r="43" spans="1:10" x14ac:dyDescent="0.35">
      <c r="A43" s="27">
        <f t="shared" si="2"/>
        <v>40</v>
      </c>
      <c r="B43" s="3">
        <v>44316</v>
      </c>
      <c r="C43">
        <v>33014</v>
      </c>
      <c r="E43" s="3">
        <f t="shared" si="7"/>
        <v>44316</v>
      </c>
      <c r="F43">
        <f t="shared" si="7"/>
        <v>33014</v>
      </c>
      <c r="G43">
        <f t="shared" si="3"/>
        <v>59467.062083896453</v>
      </c>
      <c r="H43">
        <f t="shared" si="6"/>
        <v>241.5176375734909</v>
      </c>
      <c r="I43">
        <f t="shared" si="4"/>
        <v>0.71064003831450961</v>
      </c>
      <c r="J43" s="50">
        <f t="shared" si="5"/>
        <v>57785.281956762308</v>
      </c>
    </row>
    <row r="44" spans="1:10" x14ac:dyDescent="0.35">
      <c r="A44" s="27">
        <f t="shared" si="2"/>
        <v>41</v>
      </c>
      <c r="B44" s="3">
        <v>44347</v>
      </c>
      <c r="C44">
        <v>11690</v>
      </c>
      <c r="E44" s="3">
        <f t="shared" si="7"/>
        <v>44347</v>
      </c>
      <c r="F44">
        <f t="shared" si="7"/>
        <v>11690</v>
      </c>
      <c r="G44">
        <f t="shared" si="3"/>
        <v>34559.337991983324</v>
      </c>
      <c r="H44">
        <f t="shared" si="6"/>
        <v>-1198.6704815034516</v>
      </c>
      <c r="I44">
        <f t="shared" si="4"/>
        <v>0.96970009925549683</v>
      </c>
      <c r="J44" s="50">
        <f t="shared" si="5"/>
        <v>70156.655100295626</v>
      </c>
    </row>
    <row r="45" spans="1:10" x14ac:dyDescent="0.35">
      <c r="A45" s="27">
        <f t="shared" si="2"/>
        <v>42</v>
      </c>
      <c r="B45" s="3">
        <v>44377</v>
      </c>
      <c r="C45">
        <v>9100</v>
      </c>
      <c r="E45" s="3">
        <f t="shared" si="7"/>
        <v>44377</v>
      </c>
      <c r="F45">
        <f t="shared" si="7"/>
        <v>9100</v>
      </c>
      <c r="G45">
        <f t="shared" si="3"/>
        <v>21973.761680594296</v>
      </c>
      <c r="H45">
        <f t="shared" si="6"/>
        <v>-1850.7492465670352</v>
      </c>
      <c r="I45">
        <f t="shared" si="4"/>
        <v>0.73565919025911297</v>
      </c>
      <c r="J45" s="50">
        <f t="shared" si="5"/>
        <v>28029.288473639732</v>
      </c>
    </row>
    <row r="46" spans="1:10" x14ac:dyDescent="0.35">
      <c r="A46" s="27">
        <f t="shared" si="2"/>
        <v>43</v>
      </c>
      <c r="B46" s="3">
        <v>44408</v>
      </c>
      <c r="C46">
        <v>8510</v>
      </c>
      <c r="E46" s="3">
        <f t="shared" si="7"/>
        <v>44408</v>
      </c>
      <c r="F46">
        <f t="shared" si="7"/>
        <v>8510</v>
      </c>
      <c r="G46">
        <f t="shared" si="3"/>
        <v>14193.254366571377</v>
      </c>
      <c r="H46">
        <f t="shared" si="6"/>
        <v>-2190.3208014317611</v>
      </c>
      <c r="I46">
        <f t="shared" si="4"/>
        <v>0.91250117998350055</v>
      </c>
      <c r="J46" s="50">
        <f t="shared" si="5"/>
        <v>20409.424449650483</v>
      </c>
    </row>
    <row r="47" spans="1:10" x14ac:dyDescent="0.35">
      <c r="A47" s="27">
        <f t="shared" si="2"/>
        <v>44</v>
      </c>
      <c r="B47" s="3">
        <v>44439</v>
      </c>
      <c r="C47">
        <v>10133</v>
      </c>
      <c r="E47" s="3">
        <f t="shared" si="7"/>
        <v>44439</v>
      </c>
      <c r="F47">
        <f t="shared" si="7"/>
        <v>10133</v>
      </c>
      <c r="G47">
        <f t="shared" si="3"/>
        <v>9777.2174441625757</v>
      </c>
      <c r="H47">
        <f t="shared" si="6"/>
        <v>-2317.7779211472584</v>
      </c>
      <c r="I47">
        <f t="shared" si="4"/>
        <v>1.2605530123637663</v>
      </c>
      <c r="J47" s="50">
        <f t="shared" si="5"/>
        <v>16005.06876423575</v>
      </c>
    </row>
    <row r="48" spans="1:10" x14ac:dyDescent="0.35">
      <c r="A48" s="27">
        <f t="shared" si="2"/>
        <v>45</v>
      </c>
      <c r="B48" s="3">
        <v>44469</v>
      </c>
      <c r="C48">
        <v>10459</v>
      </c>
      <c r="E48" s="3">
        <f t="shared" si="7"/>
        <v>44469</v>
      </c>
      <c r="F48">
        <f t="shared" si="7"/>
        <v>10459</v>
      </c>
      <c r="G48">
        <f t="shared" si="3"/>
        <v>8535.5994150678071</v>
      </c>
      <c r="H48">
        <f t="shared" si="6"/>
        <v>-2256.1509064073289</v>
      </c>
      <c r="I48">
        <f t="shared" si="4"/>
        <v>1.1237805224525865</v>
      </c>
      <c r="J48" s="50">
        <f t="shared" si="5"/>
        <v>8136.4844817889934</v>
      </c>
    </row>
    <row r="49" spans="1:10" x14ac:dyDescent="0.35">
      <c r="A49" s="27">
        <f t="shared" si="2"/>
        <v>46</v>
      </c>
      <c r="B49" s="3">
        <v>44500</v>
      </c>
      <c r="C49">
        <v>14893</v>
      </c>
      <c r="E49" s="3">
        <f t="shared" si="7"/>
        <v>44500</v>
      </c>
      <c r="F49">
        <f t="shared" si="7"/>
        <v>14893</v>
      </c>
      <c r="G49">
        <f t="shared" si="3"/>
        <v>9495.3619536383885</v>
      </c>
      <c r="H49">
        <f t="shared" si="6"/>
        <v>-2071.9894758061555</v>
      </c>
      <c r="I49">
        <f t="shared" si="4"/>
        <v>1.2738121992978189</v>
      </c>
      <c r="J49" s="50">
        <f t="shared" si="5"/>
        <v>7397.341984601615</v>
      </c>
    </row>
    <row r="50" spans="1:10" x14ac:dyDescent="0.35">
      <c r="A50" s="27">
        <f t="shared" si="2"/>
        <v>47</v>
      </c>
      <c r="B50" s="3">
        <v>44530</v>
      </c>
      <c r="C50">
        <v>20774</v>
      </c>
      <c r="E50" s="3">
        <f t="shared" si="7"/>
        <v>44530</v>
      </c>
      <c r="F50">
        <f t="shared" si="7"/>
        <v>20774</v>
      </c>
      <c r="G50">
        <f t="shared" si="3"/>
        <v>15971.352967368424</v>
      </c>
      <c r="H50">
        <f t="shared" si="6"/>
        <v>-1582.4836658278907</v>
      </c>
      <c r="I50">
        <f t="shared" si="4"/>
        <v>0.96331432096943725</v>
      </c>
      <c r="J50" s="50">
        <f t="shared" si="5"/>
        <v>6336.7947628795937</v>
      </c>
    </row>
    <row r="51" spans="1:10" x14ac:dyDescent="0.35">
      <c r="A51" s="27">
        <f t="shared" si="2"/>
        <v>48</v>
      </c>
      <c r="B51" s="3">
        <v>44561</v>
      </c>
      <c r="C51">
        <v>32567</v>
      </c>
      <c r="E51" s="3">
        <f t="shared" si="7"/>
        <v>44561</v>
      </c>
      <c r="F51">
        <f t="shared" si="7"/>
        <v>32567</v>
      </c>
      <c r="G51">
        <f t="shared" si="3"/>
        <v>23125.966237046698</v>
      </c>
      <c r="H51">
        <f t="shared" si="6"/>
        <v>-1082.1479763034495</v>
      </c>
      <c r="I51">
        <f t="shared" si="4"/>
        <v>1.1213914283202711</v>
      </c>
      <c r="J51" s="50">
        <f t="shared" si="5"/>
        <v>14793.691793086675</v>
      </c>
    </row>
    <row r="52" spans="1:10" x14ac:dyDescent="0.35">
      <c r="A52" s="27">
        <f t="shared" si="2"/>
        <v>49</v>
      </c>
      <c r="B52" s="3">
        <v>44592</v>
      </c>
      <c r="C52">
        <v>59844</v>
      </c>
      <c r="E52" s="3">
        <f t="shared" si="7"/>
        <v>44592</v>
      </c>
      <c r="F52">
        <f t="shared" si="7"/>
        <v>59844</v>
      </c>
      <c r="G52">
        <f t="shared" si="3"/>
        <v>46224.97411217109</v>
      </c>
      <c r="H52">
        <f t="shared" si="6"/>
        <v>302.60205860287795</v>
      </c>
      <c r="I52">
        <f t="shared" si="4"/>
        <v>0.96382877693113322</v>
      </c>
      <c r="J52" s="50">
        <f t="shared" si="5"/>
        <v>18875.801855684414</v>
      </c>
    </row>
    <row r="53" spans="1:10" x14ac:dyDescent="0.35">
      <c r="A53" s="27">
        <f t="shared" si="2"/>
        <v>50</v>
      </c>
      <c r="B53" s="3">
        <v>44620</v>
      </c>
      <c r="C53">
        <v>21730</v>
      </c>
      <c r="E53" s="3">
        <f t="shared" si="7"/>
        <v>44620</v>
      </c>
      <c r="F53">
        <f t="shared" si="7"/>
        <v>21730</v>
      </c>
      <c r="G53">
        <f t="shared" si="3"/>
        <v>39669.211429767762</v>
      </c>
      <c r="H53">
        <f t="shared" si="6"/>
        <v>-90.14677742713701</v>
      </c>
      <c r="I53">
        <f t="shared" si="4"/>
        <v>0.63196010203296393</v>
      </c>
      <c r="J53" s="50">
        <f t="shared" si="5"/>
        <v>30676.907440415671</v>
      </c>
    </row>
    <row r="54" spans="1:10" x14ac:dyDescent="0.35">
      <c r="A54" s="27">
        <f t="shared" si="2"/>
        <v>51</v>
      </c>
      <c r="B54" s="3">
        <v>44651</v>
      </c>
      <c r="C54">
        <v>32597</v>
      </c>
      <c r="E54" s="3">
        <f t="shared" si="7"/>
        <v>44651</v>
      </c>
      <c r="F54">
        <f t="shared" si="7"/>
        <v>32597</v>
      </c>
      <c r="G54">
        <f t="shared" si="3"/>
        <v>38563.841348570291</v>
      </c>
      <c r="H54">
        <f t="shared" si="6"/>
        <v>-148.28421775345106</v>
      </c>
      <c r="I54">
        <f t="shared" si="4"/>
        <v>0.86214133472065035</v>
      </c>
      <c r="J54" s="50">
        <f t="shared" si="5"/>
        <v>34339.78935075878</v>
      </c>
    </row>
    <row r="55" spans="1:10" x14ac:dyDescent="0.35">
      <c r="A55" s="27">
        <f t="shared" si="2"/>
        <v>52</v>
      </c>
      <c r="B55" s="3">
        <v>44681</v>
      </c>
      <c r="C55">
        <v>25446</v>
      </c>
      <c r="E55" s="3">
        <f t="shared" si="7"/>
        <v>44681</v>
      </c>
      <c r="F55">
        <f t="shared" si="7"/>
        <v>25446</v>
      </c>
      <c r="G55">
        <f t="shared" si="3"/>
        <v>37097.231004940717</v>
      </c>
      <c r="H55">
        <f t="shared" si="6"/>
        <v>-223.77904356084071</v>
      </c>
      <c r="I55">
        <f t="shared" si="4"/>
        <v>0.7045769296654576</v>
      </c>
      <c r="J55" s="50">
        <f t="shared" si="5"/>
        <v>27299.632991316914</v>
      </c>
    </row>
    <row r="56" spans="1:10" x14ac:dyDescent="0.35">
      <c r="A56" s="27">
        <f t="shared" si="2"/>
        <v>53</v>
      </c>
      <c r="B56" s="3">
        <v>44712</v>
      </c>
      <c r="C56">
        <v>49191</v>
      </c>
      <c r="E56" s="3">
        <f t="shared" si="7"/>
        <v>44712</v>
      </c>
      <c r="F56">
        <f t="shared" si="7"/>
        <v>49191</v>
      </c>
      <c r="G56">
        <f t="shared" si="3"/>
        <v>43875.786713521877</v>
      </c>
      <c r="H56">
        <f t="shared" si="6"/>
        <v>177.21433128157278</v>
      </c>
      <c r="I56">
        <f t="shared" si="4"/>
        <v>1.0068553080328528</v>
      </c>
      <c r="J56" s="50">
        <f t="shared" si="5"/>
        <v>35756.190026842858</v>
      </c>
    </row>
    <row r="57" spans="1:10" x14ac:dyDescent="0.35">
      <c r="A57" s="27">
        <f t="shared" si="2"/>
        <v>54</v>
      </c>
      <c r="B57" s="3">
        <v>44742</v>
      </c>
      <c r="C57">
        <v>32408</v>
      </c>
      <c r="E57" s="3">
        <f t="shared" si="7"/>
        <v>44742</v>
      </c>
      <c r="F57">
        <f t="shared" si="7"/>
        <v>32408</v>
      </c>
      <c r="G57">
        <f t="shared" si="3"/>
        <v>44053.004426952793</v>
      </c>
      <c r="H57">
        <f t="shared" si="6"/>
        <v>177.21452496261313</v>
      </c>
      <c r="I57">
        <f t="shared" si="4"/>
        <v>0.73565920381906724</v>
      </c>
      <c r="J57" s="50">
        <f t="shared" si="5"/>
        <v>32407.995077103966</v>
      </c>
    </row>
    <row r="58" spans="1:10" x14ac:dyDescent="0.35">
      <c r="A58" s="27">
        <f t="shared" si="2"/>
        <v>55</v>
      </c>
      <c r="B58" s="3">
        <v>44773</v>
      </c>
      <c r="C58">
        <v>28554</v>
      </c>
      <c r="E58" s="3">
        <f t="shared" si="7"/>
        <v>44773</v>
      </c>
      <c r="F58">
        <f t="shared" si="7"/>
        <v>28554</v>
      </c>
      <c r="G58">
        <f t="shared" si="3"/>
        <v>37691.046419069738</v>
      </c>
      <c r="H58">
        <f t="shared" si="6"/>
        <v>-197.25555615147275</v>
      </c>
      <c r="I58">
        <f t="shared" si="4"/>
        <v>0.87449253827467865</v>
      </c>
      <c r="J58" s="50">
        <f t="shared" si="5"/>
        <v>40360.126984551396</v>
      </c>
    </row>
    <row r="59" spans="1:10" x14ac:dyDescent="0.35">
      <c r="A59" s="27">
        <f t="shared" si="2"/>
        <v>56</v>
      </c>
      <c r="B59" s="3">
        <v>44804</v>
      </c>
      <c r="C59">
        <v>44473</v>
      </c>
      <c r="E59" s="3">
        <f t="shared" si="7"/>
        <v>44804</v>
      </c>
      <c r="F59">
        <f t="shared" si="7"/>
        <v>44473</v>
      </c>
      <c r="G59">
        <f t="shared" si="3"/>
        <v>36375.182612756158</v>
      </c>
      <c r="H59">
        <f t="shared" si="6"/>
        <v>-261.31340446011848</v>
      </c>
      <c r="I59">
        <f t="shared" si="4"/>
        <v>1.251246257728613</v>
      </c>
      <c r="J59" s="50">
        <f t="shared" si="5"/>
        <v>47262.911017188671</v>
      </c>
    </row>
    <row r="60" spans="1:10" x14ac:dyDescent="0.35">
      <c r="A60" s="27">
        <f t="shared" si="2"/>
        <v>57</v>
      </c>
      <c r="B60" s="3">
        <v>44834</v>
      </c>
      <c r="C60">
        <v>42148</v>
      </c>
      <c r="E60" s="3">
        <f t="shared" si="7"/>
        <v>44834</v>
      </c>
      <c r="F60">
        <f t="shared" si="7"/>
        <v>42148</v>
      </c>
      <c r="G60">
        <f t="shared" si="3"/>
        <v>36817.24365789353</v>
      </c>
      <c r="H60">
        <f t="shared" si="6"/>
        <v>-221.03419698067819</v>
      </c>
      <c r="I60">
        <f t="shared" si="4"/>
        <v>1.1289349582085852</v>
      </c>
      <c r="J60" s="50">
        <f t="shared" si="5"/>
        <v>40584.062806683301</v>
      </c>
    </row>
    <row r="61" spans="1:10" x14ac:dyDescent="0.35">
      <c r="A61" s="27">
        <f t="shared" si="2"/>
        <v>58</v>
      </c>
      <c r="B61" s="3">
        <v>44865</v>
      </c>
      <c r="C61">
        <v>40341</v>
      </c>
      <c r="E61" s="3">
        <f t="shared" si="7"/>
        <v>44865</v>
      </c>
      <c r="F61">
        <f t="shared" si="7"/>
        <v>40341</v>
      </c>
      <c r="G61">
        <f t="shared" si="3"/>
        <v>34106.174657387106</v>
      </c>
      <c r="H61">
        <f t="shared" si="6"/>
        <v>-363.62770253044067</v>
      </c>
      <c r="I61">
        <f t="shared" si="4"/>
        <v>1.251484595180393</v>
      </c>
      <c r="J61" s="50">
        <f t="shared" si="5"/>
        <v>46616.698059369046</v>
      </c>
    </row>
    <row r="62" spans="1:10" x14ac:dyDescent="0.35">
      <c r="A62" s="27">
        <f t="shared" si="2"/>
        <v>59</v>
      </c>
      <c r="B62" s="3">
        <v>44895</v>
      </c>
      <c r="C62">
        <v>41282</v>
      </c>
      <c r="E62" s="3">
        <f t="shared" si="7"/>
        <v>44895</v>
      </c>
      <c r="F62">
        <f t="shared" si="7"/>
        <v>41282</v>
      </c>
      <c r="G62">
        <f t="shared" si="3"/>
        <v>38347.686131624461</v>
      </c>
      <c r="H62">
        <f t="shared" si="6"/>
        <v>-99.911332851562975</v>
      </c>
      <c r="I62">
        <f t="shared" si="4"/>
        <v>0.99108816078879802</v>
      </c>
      <c r="J62" s="50">
        <f t="shared" si="5"/>
        <v>32504.678707597104</v>
      </c>
    </row>
    <row r="63" spans="1:10" x14ac:dyDescent="0.35">
      <c r="A63" s="27">
        <f t="shared" si="2"/>
        <v>60</v>
      </c>
      <c r="B63" s="3">
        <v>44926</v>
      </c>
      <c r="C63">
        <v>40045</v>
      </c>
      <c r="E63" s="3">
        <f t="shared" si="7"/>
        <v>44926</v>
      </c>
      <c r="F63">
        <f t="shared" si="7"/>
        <v>40045</v>
      </c>
      <c r="G63">
        <f t="shared" si="3"/>
        <v>36965.19393957709</v>
      </c>
      <c r="H63">
        <f t="shared" si="6"/>
        <v>-173.3591820964001</v>
      </c>
      <c r="I63">
        <f t="shared" si="4"/>
        <v>1.1120499994499591</v>
      </c>
      <c r="J63" s="50">
        <f t="shared" si="5"/>
        <v>42890.726811668013</v>
      </c>
    </row>
    <row r="64" spans="1:10" x14ac:dyDescent="0.35">
      <c r="A64" s="27">
        <f t="shared" si="2"/>
        <v>61</v>
      </c>
      <c r="B64" s="3">
        <v>44957</v>
      </c>
      <c r="C64">
        <v>30805</v>
      </c>
      <c r="E64" s="3">
        <f t="shared" si="7"/>
        <v>44957</v>
      </c>
      <c r="F64">
        <f t="shared" si="7"/>
        <v>30805</v>
      </c>
      <c r="G64">
        <f t="shared" si="3"/>
        <v>34350.290632639138</v>
      </c>
      <c r="H64">
        <f t="shared" si="6"/>
        <v>-313.1758365554565</v>
      </c>
      <c r="I64">
        <f t="shared" si="4"/>
        <v>0.94738133490550647</v>
      </c>
      <c r="J64" s="50">
        <f t="shared" si="5"/>
        <v>35461.02909535497</v>
      </c>
    </row>
    <row r="65" spans="1:11" x14ac:dyDescent="0.35">
      <c r="A65" s="27">
        <f t="shared" si="2"/>
        <v>62</v>
      </c>
      <c r="B65" s="3">
        <v>44985</v>
      </c>
      <c r="C65">
        <v>36904</v>
      </c>
      <c r="E65" s="3">
        <f t="shared" si="7"/>
        <v>44985</v>
      </c>
      <c r="F65">
        <f t="shared" si="7"/>
        <v>36904</v>
      </c>
      <c r="G65">
        <f t="shared" si="3"/>
        <v>46348.525585755429</v>
      </c>
      <c r="H65">
        <f t="shared" si="6"/>
        <v>391.84532229611392</v>
      </c>
      <c r="I65">
        <f t="shared" si="4"/>
        <v>0.67226203475533419</v>
      </c>
      <c r="J65" s="50">
        <f t="shared" si="5"/>
        <v>21510.098539440751</v>
      </c>
    </row>
    <row r="66" spans="1:11" x14ac:dyDescent="0.35">
      <c r="A66" s="27">
        <f t="shared" si="2"/>
        <v>63</v>
      </c>
      <c r="B66" s="3">
        <v>45016</v>
      </c>
      <c r="C66">
        <v>47258</v>
      </c>
      <c r="E66" s="3">
        <f t="shared" si="7"/>
        <v>45016</v>
      </c>
      <c r="F66">
        <f t="shared" si="7"/>
        <v>47258</v>
      </c>
      <c r="G66">
        <f t="shared" si="3"/>
        <v>50821.253173397359</v>
      </c>
      <c r="H66">
        <f t="shared" si="6"/>
        <v>625.53976991088962</v>
      </c>
      <c r="I66">
        <f t="shared" si="4"/>
        <v>0.8787621176251581</v>
      </c>
      <c r="J66" s="50">
        <f t="shared" si="5"/>
        <v>40296.805760005809</v>
      </c>
    </row>
    <row r="67" spans="1:11" x14ac:dyDescent="0.35">
      <c r="A67" s="27">
        <f t="shared" si="2"/>
        <v>64</v>
      </c>
      <c r="B67" s="3">
        <v>45046</v>
      </c>
      <c r="C67">
        <v>33977</v>
      </c>
      <c r="E67" s="3">
        <f t="shared" si="7"/>
        <v>45046</v>
      </c>
      <c r="F67">
        <f t="shared" si="7"/>
        <v>33977</v>
      </c>
      <c r="G67">
        <f t="shared" si="3"/>
        <v>49817.571120924069</v>
      </c>
      <c r="H67">
        <f t="shared" si="6"/>
        <v>532.24129446669667</v>
      </c>
      <c r="I67">
        <f t="shared" si="4"/>
        <v>0.69904482482878916</v>
      </c>
      <c r="J67" s="50">
        <f t="shared" si="5"/>
        <v>36248.223413130654</v>
      </c>
    </row>
    <row r="68" spans="1:11" x14ac:dyDescent="0.35">
      <c r="A68" s="27">
        <f t="shared" si="2"/>
        <v>65</v>
      </c>
      <c r="B68" s="3">
        <v>45077</v>
      </c>
      <c r="C68">
        <v>51732</v>
      </c>
      <c r="E68" s="3">
        <f t="shared" si="7"/>
        <v>45077</v>
      </c>
      <c r="F68">
        <f t="shared" si="7"/>
        <v>51732</v>
      </c>
      <c r="G68">
        <f t="shared" si="3"/>
        <v>50870.372148184993</v>
      </c>
      <c r="H68">
        <f t="shared" si="6"/>
        <v>562.05149512817877</v>
      </c>
      <c r="I68">
        <f t="shared" si="4"/>
        <v>1.0093289511016015</v>
      </c>
      <c r="J68" s="50">
        <f t="shared" si="5"/>
        <v>50694.975888894623</v>
      </c>
      <c r="K68" s="51">
        <f t="shared" ref="K68:K78" si="8">J68-F68</f>
        <v>-1037.0241111053765</v>
      </c>
    </row>
    <row r="69" spans="1:11" x14ac:dyDescent="0.35">
      <c r="A69" s="27">
        <f t="shared" si="2"/>
        <v>66</v>
      </c>
      <c r="B69" s="3">
        <v>45107</v>
      </c>
      <c r="C69">
        <v>42493</v>
      </c>
      <c r="E69" s="3">
        <f t="shared" si="7"/>
        <v>45107</v>
      </c>
      <c r="F69">
        <f t="shared" si="7"/>
        <v>42493</v>
      </c>
      <c r="G69">
        <f t="shared" si="3"/>
        <v>54631.39034818385</v>
      </c>
      <c r="H69">
        <f t="shared" si="6"/>
        <v>745.24245934225223</v>
      </c>
      <c r="I69">
        <f t="shared" si="4"/>
        <v>0.74600129716412034</v>
      </c>
      <c r="J69" s="50">
        <f t="shared" si="5"/>
        <v>37836.735827924742</v>
      </c>
      <c r="K69" s="51">
        <f t="shared" si="8"/>
        <v>-4656.2641720752581</v>
      </c>
    </row>
    <row r="70" spans="1:11" x14ac:dyDescent="0.35">
      <c r="A70" s="27">
        <f t="shared" ref="A70:A81" si="9">A69+1</f>
        <v>67</v>
      </c>
      <c r="B70" s="3">
        <v>45138</v>
      </c>
      <c r="C70">
        <v>33368</v>
      </c>
      <c r="E70" s="3">
        <f t="shared" si="7"/>
        <v>45138</v>
      </c>
      <c r="F70">
        <f t="shared" si="7"/>
        <v>33368</v>
      </c>
      <c r="G70">
        <f t="shared" si="3"/>
        <v>46673.552180927465</v>
      </c>
      <c r="H70">
        <f t="shared" si="6"/>
        <v>246.85473645912845</v>
      </c>
      <c r="I70">
        <f t="shared" si="4"/>
        <v>0.83534336693053723</v>
      </c>
      <c r="J70" s="50">
        <f t="shared" si="5"/>
        <v>48426.452184958347</v>
      </c>
      <c r="K70" s="51">
        <f t="shared" si="8"/>
        <v>15058.452184958347</v>
      </c>
    </row>
    <row r="71" spans="1:11" x14ac:dyDescent="0.35">
      <c r="A71" s="27">
        <f t="shared" si="9"/>
        <v>68</v>
      </c>
      <c r="B71" s="3">
        <v>45169</v>
      </c>
      <c r="C71">
        <v>52612</v>
      </c>
      <c r="E71" s="3">
        <f t="shared" si="7"/>
        <v>45169</v>
      </c>
      <c r="F71">
        <f t="shared" si="7"/>
        <v>52612</v>
      </c>
      <c r="G71">
        <f t="shared" si="3"/>
        <v>44457.653027829831</v>
      </c>
      <c r="H71">
        <f t="shared" si="6"/>
        <v>105.82349066249499</v>
      </c>
      <c r="I71">
        <f t="shared" si="4"/>
        <v>1.2346051747165885</v>
      </c>
      <c r="J71" s="50">
        <f t="shared" si="5"/>
        <v>58708.983566483701</v>
      </c>
      <c r="K71" s="51">
        <f t="shared" si="8"/>
        <v>6096.983566483701</v>
      </c>
    </row>
    <row r="72" spans="1:11" x14ac:dyDescent="0.35">
      <c r="A72" s="27">
        <f t="shared" si="9"/>
        <v>69</v>
      </c>
      <c r="B72" s="3">
        <v>45199</v>
      </c>
      <c r="C72">
        <v>52467</v>
      </c>
      <c r="E72" s="3">
        <f t="shared" si="7"/>
        <v>45199</v>
      </c>
      <c r="F72">
        <f t="shared" si="7"/>
        <v>52467</v>
      </c>
      <c r="G72">
        <f t="shared" si="3"/>
        <v>45529.477712906839</v>
      </c>
      <c r="H72">
        <f t="shared" si="6"/>
        <v>161.14219403233682</v>
      </c>
      <c r="I72">
        <f t="shared" si="4"/>
        <v>1.1346856253464055</v>
      </c>
      <c r="J72" s="50">
        <f t="shared" si="5"/>
        <v>50309.266501033402</v>
      </c>
      <c r="K72" s="51">
        <f t="shared" si="8"/>
        <v>-2157.7334989665978</v>
      </c>
    </row>
    <row r="73" spans="1:11" x14ac:dyDescent="0.35">
      <c r="A73" s="27">
        <f t="shared" si="9"/>
        <v>70</v>
      </c>
      <c r="B73" s="3">
        <v>45230</v>
      </c>
      <c r="C73">
        <v>42235</v>
      </c>
      <c r="E73" s="3">
        <f t="shared" si="7"/>
        <v>45230</v>
      </c>
      <c r="F73">
        <f t="shared" si="7"/>
        <v>42235</v>
      </c>
      <c r="G73">
        <f t="shared" si="3"/>
        <v>39654.590339668939</v>
      </c>
      <c r="H73">
        <f t="shared" si="6"/>
        <v>-184.5150692237346</v>
      </c>
      <c r="I73">
        <f t="shared" si="4"/>
        <v>1.2057496973942128</v>
      </c>
      <c r="J73" s="50">
        <f>(G72+H72)*I61</f>
        <v>57181.106957776974</v>
      </c>
      <c r="K73" s="51">
        <f t="shared" si="8"/>
        <v>14946.106957776974</v>
      </c>
    </row>
    <row r="74" spans="1:11" x14ac:dyDescent="0.35">
      <c r="A74" s="27">
        <f t="shared" si="9"/>
        <v>71</v>
      </c>
      <c r="B74" s="3">
        <v>45260</v>
      </c>
      <c r="C74">
        <v>59404</v>
      </c>
      <c r="E74" s="3">
        <f t="shared" si="7"/>
        <v>45260</v>
      </c>
      <c r="F74">
        <f t="shared" si="7"/>
        <v>59404</v>
      </c>
      <c r="G74">
        <f t="shared" si="3"/>
        <v>49814.967501482446</v>
      </c>
      <c r="H74">
        <f t="shared" si="6"/>
        <v>407.89209137877037</v>
      </c>
      <c r="I74">
        <f t="shared" si="4"/>
        <v>1.0405013314050329</v>
      </c>
      <c r="J74" s="50">
        <f t="shared" si="5"/>
        <v>39118.324305980954</v>
      </c>
      <c r="K74" s="51">
        <f t="shared" si="8"/>
        <v>-20285.675694019046</v>
      </c>
    </row>
    <row r="75" spans="1:11" x14ac:dyDescent="0.35">
      <c r="A75" s="27">
        <f t="shared" si="9"/>
        <v>72</v>
      </c>
      <c r="B75" s="3">
        <v>45291</v>
      </c>
      <c r="C75">
        <v>52434</v>
      </c>
      <c r="E75" s="3">
        <f t="shared" si="7"/>
        <v>45291</v>
      </c>
      <c r="F75">
        <f t="shared" si="7"/>
        <v>52434</v>
      </c>
      <c r="G75">
        <f t="shared" si="3"/>
        <v>48670.170843546046</v>
      </c>
      <c r="H75">
        <f t="shared" si="6"/>
        <v>318.97633346284397</v>
      </c>
      <c r="I75">
        <f t="shared" si="4"/>
        <v>1.1035325382576149</v>
      </c>
      <c r="J75" s="50">
        <f t="shared" si="5"/>
        <v>55850.330982616688</v>
      </c>
      <c r="K75" s="51">
        <f t="shared" si="8"/>
        <v>3416.3309826166878</v>
      </c>
    </row>
    <row r="76" spans="1:11" x14ac:dyDescent="0.35">
      <c r="A76" s="27">
        <f t="shared" si="9"/>
        <v>73</v>
      </c>
      <c r="B76" s="3">
        <v>45322</v>
      </c>
      <c r="C76">
        <v>52855</v>
      </c>
      <c r="E76" s="3">
        <f t="shared" si="7"/>
        <v>45322</v>
      </c>
      <c r="F76">
        <f t="shared" si="7"/>
        <v>52855</v>
      </c>
      <c r="G76">
        <f t="shared" si="3"/>
        <v>52426.722979389582</v>
      </c>
      <c r="H76">
        <f t="shared" si="6"/>
        <v>515.83140695837881</v>
      </c>
      <c r="I76">
        <f t="shared" si="4"/>
        <v>0.96229514845564545</v>
      </c>
      <c r="J76" s="50">
        <f t="shared" si="5"/>
        <v>46411.403648437008</v>
      </c>
      <c r="K76" s="51">
        <f t="shared" si="8"/>
        <v>-6443.5963515629919</v>
      </c>
    </row>
    <row r="77" spans="1:11" x14ac:dyDescent="0.35">
      <c r="A77" s="27">
        <f t="shared" si="9"/>
        <v>74</v>
      </c>
      <c r="B77" s="3">
        <v>45351</v>
      </c>
      <c r="C77">
        <v>45697</v>
      </c>
      <c r="E77" s="3">
        <f t="shared" si="7"/>
        <v>45351</v>
      </c>
      <c r="F77">
        <f t="shared" si="7"/>
        <v>45697</v>
      </c>
      <c r="G77">
        <f t="shared" si="3"/>
        <v>60540.18044249418</v>
      </c>
      <c r="H77">
        <f t="shared" si="6"/>
        <v>950.91453578377241</v>
      </c>
      <c r="I77">
        <f t="shared" si="4"/>
        <v>0.69251726120409896</v>
      </c>
      <c r="J77" s="50">
        <f t="shared" si="5"/>
        <v>35591.269336911224</v>
      </c>
      <c r="K77" s="51">
        <f t="shared" si="8"/>
        <v>-10105.730663088776</v>
      </c>
    </row>
    <row r="78" spans="1:11" x14ac:dyDescent="0.35">
      <c r="A78" s="27">
        <f t="shared" si="9"/>
        <v>75</v>
      </c>
      <c r="B78" s="3">
        <v>45382</v>
      </c>
      <c r="C78">
        <v>42815</v>
      </c>
      <c r="E78" s="3">
        <f t="shared" si="7"/>
        <v>45382</v>
      </c>
      <c r="F78">
        <f t="shared" si="7"/>
        <v>42815</v>
      </c>
      <c r="G78">
        <f t="shared" si="3"/>
        <v>55037.365578199679</v>
      </c>
      <c r="H78">
        <f t="shared" si="6"/>
        <v>581.33741271557619</v>
      </c>
      <c r="I78">
        <f t="shared" si="4"/>
        <v>0.85402274086201291</v>
      </c>
      <c r="J78" s="50">
        <f t="shared" si="5"/>
        <v>54036.044838201255</v>
      </c>
      <c r="K78" s="51">
        <f t="shared" si="8"/>
        <v>11221.044838201255</v>
      </c>
    </row>
    <row r="79" spans="1:11" x14ac:dyDescent="0.35">
      <c r="A79" s="27">
        <f t="shared" si="9"/>
        <v>76</v>
      </c>
      <c r="B79" s="3">
        <v>45412</v>
      </c>
      <c r="C79">
        <v>35800</v>
      </c>
      <c r="E79" s="3">
        <f t="shared" si="7"/>
        <v>45412</v>
      </c>
      <c r="F79">
        <f t="shared" si="7"/>
        <v>35800</v>
      </c>
      <c r="G79">
        <f t="shared" si="3"/>
        <v>53391.859230226284</v>
      </c>
      <c r="H79">
        <f t="shared" si="6"/>
        <v>453.81571795908224</v>
      </c>
      <c r="I79">
        <f t="shared" si="4"/>
        <v>0.69204505045151765</v>
      </c>
      <c r="J79" s="50">
        <f t="shared" si="5"/>
        <v>38879.966489488805</v>
      </c>
      <c r="K79" s="51">
        <f>J79-F79</f>
        <v>3079.9664894888047</v>
      </c>
    </row>
    <row r="80" spans="1:11" x14ac:dyDescent="0.35">
      <c r="A80" s="27">
        <f t="shared" si="9"/>
        <v>77</v>
      </c>
      <c r="B80" s="3">
        <v>45443</v>
      </c>
      <c r="E80" s="3">
        <f t="shared" si="7"/>
        <v>45443</v>
      </c>
    </row>
    <row r="81" spans="1:13" x14ac:dyDescent="0.35">
      <c r="A81" s="28">
        <f t="shared" si="9"/>
        <v>78</v>
      </c>
      <c r="B81" s="3">
        <v>45473</v>
      </c>
      <c r="E81" s="3">
        <f t="shared" si="7"/>
        <v>45473</v>
      </c>
      <c r="J81">
        <f>MAX(J16:J79)</f>
        <v>148970.11902142747</v>
      </c>
    </row>
    <row r="83" spans="1:13" x14ac:dyDescent="0.35">
      <c r="F83" s="22" t="s">
        <v>28</v>
      </c>
      <c r="G83" s="22" t="s">
        <v>51</v>
      </c>
      <c r="H83" s="22" t="s">
        <v>52</v>
      </c>
      <c r="I83" s="22" t="s">
        <v>36</v>
      </c>
      <c r="J83" s="22" t="s">
        <v>37</v>
      </c>
      <c r="K83" s="22" t="s">
        <v>38</v>
      </c>
      <c r="L83" s="22" t="s">
        <v>56</v>
      </c>
      <c r="M83" s="22" t="s">
        <v>57</v>
      </c>
    </row>
    <row r="84" spans="1:13" x14ac:dyDescent="0.35">
      <c r="F84" s="30">
        <v>0.50541576082870654</v>
      </c>
      <c r="G84" s="31">
        <v>5.7265667671736263E-2</v>
      </c>
      <c r="H84" s="32">
        <v>0.24534252012232838</v>
      </c>
      <c r="I84" s="52" cm="1">
        <f t="array" ref="I84">SUMPRODUCT(ABS(F56:F67-J56:J67))/COUNT(J56:J67)</f>
        <v>6397.9903719657477</v>
      </c>
      <c r="J84" s="53">
        <f>(SUMXMY2(F56:F67,J56:J67)/COUNT(J56:J67))^0.5</f>
        <v>7994.2670232134415</v>
      </c>
      <c r="K84" s="45" cm="1">
        <f t="array" ref="K84">SUMPRODUCT(ABS(1-J56:J67/F56:F67))/COUNT(J56:J67)</f>
        <v>0.16734128207446419</v>
      </c>
      <c r="L84" s="51" cm="1">
        <f t="array" ref="L84">SUM(J56:J67-F56:F67)</f>
        <v>-15486.453701063459</v>
      </c>
      <c r="M84" s="51" cm="1">
        <f t="array" ref="M84">MIN(J56:J67-F56:F67)</f>
        <v>-15393.901460559249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236F-C75D-4909-85D6-B9312CDFD9EE}">
  <sheetPr>
    <tabColor rgb="FF92D050"/>
  </sheetPr>
  <dimension ref="A1:C77"/>
  <sheetViews>
    <sheetView workbookViewId="0">
      <selection activeCell="N12" sqref="N12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11.81640625" bestFit="1" customWidth="1"/>
  </cols>
  <sheetData>
    <row r="1" spans="1:3" x14ac:dyDescent="0.35">
      <c r="A1" t="s">
        <v>3</v>
      </c>
      <c r="B1" t="s">
        <v>76</v>
      </c>
      <c r="C1" t="s">
        <v>68</v>
      </c>
    </row>
    <row r="2" spans="1:3" x14ac:dyDescent="0.35">
      <c r="A2" s="3">
        <v>43131</v>
      </c>
      <c r="B2">
        <v>34890</v>
      </c>
      <c r="C2">
        <v>45520.797509362797</v>
      </c>
    </row>
    <row r="3" spans="1:3" x14ac:dyDescent="0.35">
      <c r="A3" s="3">
        <v>43159</v>
      </c>
      <c r="B3">
        <v>25830</v>
      </c>
      <c r="C3">
        <v>46738.303025027701</v>
      </c>
    </row>
    <row r="4" spans="1:3" x14ac:dyDescent="0.35">
      <c r="A4" s="3">
        <v>43190</v>
      </c>
      <c r="B4">
        <v>41054</v>
      </c>
      <c r="C4">
        <v>52299.203650923999</v>
      </c>
    </row>
    <row r="5" spans="1:3" x14ac:dyDescent="0.35">
      <c r="A5" s="3">
        <v>43220</v>
      </c>
      <c r="B5">
        <v>36838</v>
      </c>
      <c r="C5">
        <v>54821.0541607372</v>
      </c>
    </row>
    <row r="6" spans="1:3" x14ac:dyDescent="0.35">
      <c r="A6" s="3">
        <v>43251</v>
      </c>
      <c r="B6">
        <v>56808</v>
      </c>
      <c r="C6">
        <v>56875.257128046898</v>
      </c>
    </row>
    <row r="7" spans="1:3" x14ac:dyDescent="0.35">
      <c r="A7" s="3">
        <v>43281</v>
      </c>
      <c r="B7">
        <v>34939</v>
      </c>
      <c r="C7">
        <v>56889.147481553497</v>
      </c>
    </row>
    <row r="8" spans="1:3" x14ac:dyDescent="0.35">
      <c r="A8" s="3">
        <v>43312</v>
      </c>
      <c r="B8">
        <v>41853</v>
      </c>
      <c r="C8">
        <v>55457.891447672999</v>
      </c>
    </row>
    <row r="9" spans="1:3" x14ac:dyDescent="0.35">
      <c r="A9" s="3">
        <v>43343</v>
      </c>
      <c r="B9">
        <v>58036</v>
      </c>
      <c r="C9">
        <v>52554.960326986198</v>
      </c>
    </row>
    <row r="10" spans="1:3" x14ac:dyDescent="0.35">
      <c r="A10" s="3">
        <v>43373</v>
      </c>
      <c r="B10">
        <v>42879</v>
      </c>
      <c r="C10">
        <v>48730.6147064877</v>
      </c>
    </row>
    <row r="11" spans="1:3" x14ac:dyDescent="0.35">
      <c r="A11" s="3">
        <v>43404</v>
      </c>
      <c r="B11">
        <v>54081</v>
      </c>
      <c r="C11">
        <v>44498.611728955897</v>
      </c>
    </row>
    <row r="12" spans="1:3" x14ac:dyDescent="0.35">
      <c r="A12" s="3">
        <v>43434</v>
      </c>
      <c r="B12">
        <v>31764</v>
      </c>
      <c r="C12">
        <v>40496.088123982001</v>
      </c>
    </row>
    <row r="13" spans="1:3" x14ac:dyDescent="0.35">
      <c r="A13" s="3">
        <v>43465</v>
      </c>
      <c r="B13">
        <v>45101</v>
      </c>
      <c r="C13">
        <v>37286.586905914497</v>
      </c>
    </row>
    <row r="14" spans="1:3" x14ac:dyDescent="0.35">
      <c r="A14" s="3">
        <v>43496</v>
      </c>
      <c r="B14">
        <v>61974</v>
      </c>
      <c r="C14">
        <v>35325.819543877798</v>
      </c>
    </row>
    <row r="15" spans="1:3" x14ac:dyDescent="0.35">
      <c r="A15" s="3">
        <v>43524</v>
      </c>
      <c r="B15">
        <v>37927</v>
      </c>
      <c r="C15">
        <v>34877.142967002699</v>
      </c>
    </row>
    <row r="16" spans="1:3" x14ac:dyDescent="0.35">
      <c r="A16" s="3">
        <v>43555</v>
      </c>
      <c r="B16">
        <v>59679</v>
      </c>
      <c r="C16">
        <v>35985.301052025199</v>
      </c>
    </row>
    <row r="17" spans="1:3" x14ac:dyDescent="0.35">
      <c r="A17" s="3">
        <v>43585</v>
      </c>
      <c r="B17">
        <v>56163</v>
      </c>
      <c r="C17">
        <v>38468.970057668899</v>
      </c>
    </row>
    <row r="18" spans="1:3" x14ac:dyDescent="0.35">
      <c r="A18" s="3">
        <v>43616</v>
      </c>
      <c r="B18">
        <v>118501</v>
      </c>
      <c r="C18">
        <v>41951.750512569299</v>
      </c>
    </row>
    <row r="19" spans="1:3" x14ac:dyDescent="0.35">
      <c r="A19" s="3">
        <v>43646</v>
      </c>
      <c r="B19">
        <v>78698</v>
      </c>
      <c r="C19">
        <v>45918.263977210197</v>
      </c>
    </row>
    <row r="20" spans="1:3" x14ac:dyDescent="0.35">
      <c r="A20" s="3">
        <v>43677</v>
      </c>
      <c r="B20">
        <v>109530</v>
      </c>
      <c r="C20">
        <v>49790.635378521802</v>
      </c>
    </row>
    <row r="21" spans="1:3" x14ac:dyDescent="0.35">
      <c r="A21" s="3">
        <v>43708</v>
      </c>
      <c r="B21">
        <v>116775</v>
      </c>
      <c r="C21">
        <v>53012.4230262614</v>
      </c>
    </row>
    <row r="22" spans="1:3" x14ac:dyDescent="0.35">
      <c r="A22" s="3">
        <v>43738</v>
      </c>
      <c r="B22">
        <v>115435</v>
      </c>
      <c r="C22">
        <v>55128.535012411303</v>
      </c>
    </row>
    <row r="23" spans="1:3" x14ac:dyDescent="0.35">
      <c r="A23" s="3">
        <v>43769</v>
      </c>
      <c r="B23">
        <v>100006</v>
      </c>
      <c r="C23">
        <v>55849.353793714297</v>
      </c>
    </row>
    <row r="24" spans="1:3" x14ac:dyDescent="0.35">
      <c r="A24" s="3">
        <v>43799</v>
      </c>
      <c r="B24">
        <v>105375</v>
      </c>
      <c r="C24">
        <v>55090.193314773998</v>
      </c>
    </row>
    <row r="25" spans="1:3" x14ac:dyDescent="0.35">
      <c r="A25" s="3">
        <v>43830</v>
      </c>
      <c r="B25">
        <v>106477</v>
      </c>
      <c r="C25">
        <v>52980.680433548601</v>
      </c>
    </row>
    <row r="26" spans="1:3" x14ac:dyDescent="0.35">
      <c r="A26" s="3">
        <v>43861</v>
      </c>
      <c r="B26">
        <v>82087</v>
      </c>
      <c r="C26">
        <v>49843.150020767498</v>
      </c>
    </row>
    <row r="27" spans="1:3" x14ac:dyDescent="0.35">
      <c r="A27" s="3">
        <v>43890</v>
      </c>
      <c r="B27">
        <v>90055</v>
      </c>
      <c r="C27">
        <v>46143.577661414602</v>
      </c>
    </row>
    <row r="28" spans="1:3" x14ac:dyDescent="0.35">
      <c r="A28" s="3">
        <v>43921</v>
      </c>
      <c r="B28">
        <v>77921</v>
      </c>
      <c r="C28">
        <v>42422.498908958303</v>
      </c>
    </row>
    <row r="29" spans="1:3" x14ac:dyDescent="0.35">
      <c r="A29" s="3">
        <v>43951</v>
      </c>
      <c r="B29">
        <v>31224</v>
      </c>
      <c r="C29">
        <v>39216.136343355902</v>
      </c>
    </row>
    <row r="30" spans="1:3" x14ac:dyDescent="0.35">
      <c r="A30" s="3">
        <v>43982</v>
      </c>
      <c r="B30">
        <v>23641</v>
      </c>
      <c r="C30">
        <v>36979.229431740299</v>
      </c>
    </row>
    <row r="31" spans="1:3" x14ac:dyDescent="0.35">
      <c r="A31" s="3">
        <v>44012</v>
      </c>
      <c r="B31">
        <v>36735</v>
      </c>
      <c r="C31">
        <v>36020.657779935304</v>
      </c>
    </row>
    <row r="32" spans="1:3" x14ac:dyDescent="0.35">
      <c r="A32" s="3">
        <v>44043</v>
      </c>
      <c r="B32">
        <v>44506</v>
      </c>
      <c r="C32">
        <v>36460.954452199599</v>
      </c>
    </row>
    <row r="33" spans="1:3" x14ac:dyDescent="0.35">
      <c r="A33" s="3">
        <v>44074</v>
      </c>
      <c r="B33">
        <v>55883</v>
      </c>
      <c r="C33">
        <v>38217.528303903498</v>
      </c>
    </row>
    <row r="34" spans="1:3" x14ac:dyDescent="0.35">
      <c r="A34" s="3">
        <v>44104</v>
      </c>
      <c r="B34">
        <v>68914</v>
      </c>
      <c r="C34">
        <v>41019.343849758297</v>
      </c>
    </row>
    <row r="35" spans="1:3" x14ac:dyDescent="0.35">
      <c r="A35" s="3">
        <v>44135</v>
      </c>
      <c r="B35">
        <v>47439</v>
      </c>
      <c r="C35">
        <v>44448.540541401599</v>
      </c>
    </row>
    <row r="36" spans="1:3" x14ac:dyDescent="0.35">
      <c r="A36" s="3">
        <v>44165</v>
      </c>
      <c r="B36">
        <v>75926</v>
      </c>
      <c r="C36">
        <v>48002.6279328581</v>
      </c>
    </row>
    <row r="37" spans="1:3" x14ac:dyDescent="0.35">
      <c r="A37" s="3">
        <v>44196</v>
      </c>
      <c r="B37">
        <v>67387</v>
      </c>
      <c r="C37">
        <v>51168.017000808999</v>
      </c>
    </row>
    <row r="38" spans="1:3" x14ac:dyDescent="0.35">
      <c r="A38" s="3">
        <v>44227</v>
      </c>
      <c r="B38">
        <v>60442</v>
      </c>
      <c r="C38">
        <v>53494.141874219902</v>
      </c>
    </row>
    <row r="39" spans="1:3" x14ac:dyDescent="0.35">
      <c r="A39" s="3">
        <v>44255</v>
      </c>
      <c r="B39">
        <v>63811</v>
      </c>
      <c r="C39">
        <v>54657.488508405499</v>
      </c>
    </row>
    <row r="40" spans="1:3" x14ac:dyDescent="0.35">
      <c r="A40" s="3">
        <v>44286</v>
      </c>
      <c r="B40">
        <v>55821</v>
      </c>
      <c r="C40">
        <v>54506.446953034203</v>
      </c>
    </row>
    <row r="41" spans="1:3" x14ac:dyDescent="0.35">
      <c r="A41" s="3">
        <v>44316</v>
      </c>
      <c r="B41">
        <v>33014</v>
      </c>
      <c r="C41">
        <v>53080.790268144199</v>
      </c>
    </row>
    <row r="42" spans="1:3" x14ac:dyDescent="0.35">
      <c r="A42" s="3">
        <v>44347</v>
      </c>
      <c r="B42">
        <v>11690</v>
      </c>
      <c r="C42">
        <v>50603.322491065897</v>
      </c>
    </row>
    <row r="43" spans="1:3" x14ac:dyDescent="0.35">
      <c r="A43" s="3">
        <v>44377</v>
      </c>
      <c r="B43">
        <v>9100</v>
      </c>
      <c r="C43">
        <v>47445.280096893701</v>
      </c>
    </row>
    <row r="44" spans="1:3" x14ac:dyDescent="0.35">
      <c r="A44" s="3">
        <v>44408</v>
      </c>
      <c r="B44">
        <v>8510</v>
      </c>
      <c r="C44">
        <v>44070.829822451597</v>
      </c>
    </row>
    <row r="45" spans="1:3" x14ac:dyDescent="0.35">
      <c r="A45" s="3">
        <v>44439</v>
      </c>
      <c r="B45">
        <v>10133</v>
      </c>
      <c r="C45">
        <v>40968.943119606804</v>
      </c>
    </row>
    <row r="46" spans="1:3" x14ac:dyDescent="0.35">
      <c r="A46" s="3">
        <v>44469</v>
      </c>
      <c r="B46">
        <v>10459</v>
      </c>
      <c r="C46">
        <v>38582.632066166501</v>
      </c>
    </row>
    <row r="47" spans="1:3" x14ac:dyDescent="0.35">
      <c r="A47" s="3">
        <v>44500</v>
      </c>
      <c r="B47">
        <v>14893</v>
      </c>
      <c r="C47">
        <v>37245.774693363303</v>
      </c>
    </row>
    <row r="48" spans="1:3" x14ac:dyDescent="0.35">
      <c r="A48" s="3">
        <v>44530</v>
      </c>
      <c r="B48">
        <v>20774</v>
      </c>
      <c r="C48">
        <v>37136.524406417397</v>
      </c>
    </row>
    <row r="49" spans="1:3" x14ac:dyDescent="0.35">
      <c r="A49" s="3">
        <v>44561</v>
      </c>
      <c r="B49">
        <v>32567</v>
      </c>
      <c r="C49">
        <v>38253.7863427466</v>
      </c>
    </row>
    <row r="50" spans="1:3" x14ac:dyDescent="0.35">
      <c r="A50" s="3">
        <v>44592</v>
      </c>
      <c r="B50">
        <v>59844</v>
      </c>
      <c r="C50">
        <v>40419.832425261797</v>
      </c>
    </row>
    <row r="51" spans="1:3" x14ac:dyDescent="0.35">
      <c r="A51" s="3">
        <v>44620</v>
      </c>
      <c r="B51">
        <v>21730</v>
      </c>
      <c r="C51">
        <v>43308.320135255599</v>
      </c>
    </row>
    <row r="52" spans="1:3" x14ac:dyDescent="0.35">
      <c r="A52" s="3">
        <v>44651</v>
      </c>
      <c r="B52">
        <v>32597</v>
      </c>
      <c r="C52">
        <v>46493.331338783901</v>
      </c>
    </row>
    <row r="53" spans="1:3" x14ac:dyDescent="0.35">
      <c r="A53" s="3">
        <v>44681</v>
      </c>
      <c r="B53">
        <v>25446</v>
      </c>
      <c r="C53">
        <v>49512.080187574102</v>
      </c>
    </row>
    <row r="54" spans="1:3" x14ac:dyDescent="0.35">
      <c r="A54" s="3">
        <v>44712</v>
      </c>
      <c r="B54">
        <v>49191</v>
      </c>
      <c r="C54">
        <v>51932.071205927197</v>
      </c>
    </row>
    <row r="55" spans="1:3" x14ac:dyDescent="0.35">
      <c r="A55" s="3">
        <v>44742</v>
      </c>
      <c r="B55">
        <v>32408</v>
      </c>
      <c r="C55">
        <v>53412.974122150299</v>
      </c>
    </row>
    <row r="56" spans="1:3" x14ac:dyDescent="0.35">
      <c r="A56" s="3">
        <v>44773</v>
      </c>
      <c r="B56">
        <v>28554</v>
      </c>
      <c r="C56">
        <v>53754.3763616094</v>
      </c>
    </row>
    <row r="57" spans="1:3" x14ac:dyDescent="0.35">
      <c r="A57" s="3">
        <v>44804</v>
      </c>
      <c r="B57">
        <v>44473</v>
      </c>
      <c r="C57">
        <v>52922.729263508598</v>
      </c>
    </row>
    <row r="58" spans="1:3" x14ac:dyDescent="0.35">
      <c r="A58" s="3">
        <v>44834</v>
      </c>
      <c r="B58">
        <v>42148</v>
      </c>
      <c r="C58">
        <v>51053.892336097299</v>
      </c>
    </row>
    <row r="59" spans="1:3" x14ac:dyDescent="0.35">
      <c r="A59" s="3">
        <v>44865</v>
      </c>
      <c r="B59">
        <v>40341</v>
      </c>
      <c r="C59">
        <v>48431.243647845797</v>
      </c>
    </row>
    <row r="60" spans="1:3" x14ac:dyDescent="0.35">
      <c r="A60" s="3">
        <v>44895</v>
      </c>
      <c r="B60">
        <v>41282</v>
      </c>
      <c r="C60">
        <v>45442.843972802497</v>
      </c>
    </row>
    <row r="61" spans="1:3" x14ac:dyDescent="0.35">
      <c r="A61" s="3">
        <v>44926</v>
      </c>
      <c r="B61">
        <v>40045</v>
      </c>
      <c r="C61">
        <v>42524.111275246898</v>
      </c>
    </row>
    <row r="62" spans="1:3" x14ac:dyDescent="0.35">
      <c r="A62" s="3">
        <v>44957</v>
      </c>
      <c r="B62">
        <v>30805</v>
      </c>
      <c r="C62">
        <v>40094.460474614898</v>
      </c>
    </row>
    <row r="63" spans="1:3" x14ac:dyDescent="0.35">
      <c r="A63" s="3">
        <v>44985</v>
      </c>
      <c r="B63">
        <v>36904</v>
      </c>
      <c r="C63">
        <v>38497.116669991199</v>
      </c>
    </row>
    <row r="64" spans="1:3" x14ac:dyDescent="0.35">
      <c r="A64" s="3">
        <v>45016</v>
      </c>
      <c r="B64">
        <v>47258</v>
      </c>
      <c r="C64">
        <v>37950.726708896502</v>
      </c>
    </row>
    <row r="65" spans="1:3" x14ac:dyDescent="0.35">
      <c r="A65" s="3">
        <v>45046</v>
      </c>
      <c r="B65">
        <v>33977</v>
      </c>
      <c r="C65">
        <v>38519.576489453</v>
      </c>
    </row>
    <row r="66" spans="1:3" x14ac:dyDescent="0.35">
      <c r="A66" s="3">
        <v>45077</v>
      </c>
      <c r="B66">
        <v>51732</v>
      </c>
      <c r="C66">
        <v>45520.797509362797</v>
      </c>
    </row>
    <row r="67" spans="1:3" x14ac:dyDescent="0.35">
      <c r="A67" s="3">
        <v>45107</v>
      </c>
      <c r="B67">
        <v>42493</v>
      </c>
      <c r="C67">
        <v>46738.303025027701</v>
      </c>
    </row>
    <row r="68" spans="1:3" x14ac:dyDescent="0.35">
      <c r="A68" s="3">
        <v>45138</v>
      </c>
      <c r="B68">
        <v>33368</v>
      </c>
      <c r="C68">
        <v>52299.203650923999</v>
      </c>
    </row>
    <row r="69" spans="1:3" x14ac:dyDescent="0.35">
      <c r="A69" s="3">
        <v>45169</v>
      </c>
      <c r="B69">
        <v>52612</v>
      </c>
      <c r="C69">
        <v>54821.0541607372</v>
      </c>
    </row>
    <row r="70" spans="1:3" x14ac:dyDescent="0.35">
      <c r="A70" s="3">
        <v>45199</v>
      </c>
      <c r="B70">
        <v>52467</v>
      </c>
      <c r="C70">
        <v>56875.257128046898</v>
      </c>
    </row>
    <row r="71" spans="1:3" x14ac:dyDescent="0.35">
      <c r="A71" s="3">
        <v>45230</v>
      </c>
      <c r="B71">
        <v>42235</v>
      </c>
      <c r="C71">
        <v>56889.147481553497</v>
      </c>
    </row>
    <row r="72" spans="1:3" x14ac:dyDescent="0.35">
      <c r="A72" s="3">
        <v>45260</v>
      </c>
      <c r="B72">
        <v>59404</v>
      </c>
      <c r="C72">
        <v>55457.891447672999</v>
      </c>
    </row>
    <row r="73" spans="1:3" x14ac:dyDescent="0.35">
      <c r="A73" s="3">
        <v>45291</v>
      </c>
      <c r="B73">
        <v>52434</v>
      </c>
      <c r="C73">
        <v>52554.960326986198</v>
      </c>
    </row>
    <row r="74" spans="1:3" x14ac:dyDescent="0.35">
      <c r="A74" s="3">
        <v>45322</v>
      </c>
      <c r="B74">
        <v>52855</v>
      </c>
      <c r="C74">
        <v>48730.6147064877</v>
      </c>
    </row>
    <row r="75" spans="1:3" x14ac:dyDescent="0.35">
      <c r="A75" s="3">
        <v>45351</v>
      </c>
      <c r="B75">
        <v>45697</v>
      </c>
      <c r="C75">
        <v>44498.611728955897</v>
      </c>
    </row>
    <row r="76" spans="1:3" x14ac:dyDescent="0.35">
      <c r="A76" s="3">
        <v>45382</v>
      </c>
      <c r="B76">
        <v>42815</v>
      </c>
      <c r="C76">
        <v>40496.088123982001</v>
      </c>
    </row>
    <row r="77" spans="1:3" x14ac:dyDescent="0.35">
      <c r="A77" s="3">
        <v>45412</v>
      </c>
      <c r="B77">
        <v>35800</v>
      </c>
      <c r="C77">
        <v>37286.586905914497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A332-E2C7-4C04-ACD2-FB70B58C8FE7}">
  <sheetPr>
    <tabColor rgb="FF92D050"/>
  </sheetPr>
  <dimension ref="B3:R39"/>
  <sheetViews>
    <sheetView showGridLines="0" topLeftCell="A46" zoomScale="63" workbookViewId="0">
      <selection activeCell="H28" sqref="H28:H30"/>
    </sheetView>
  </sheetViews>
  <sheetFormatPr defaultRowHeight="14.5" x14ac:dyDescent="0.35"/>
  <sheetData>
    <row r="3" spans="2:11" ht="31" x14ac:dyDescent="0.7">
      <c r="B3" s="92" t="s">
        <v>74</v>
      </c>
    </row>
    <row r="4" spans="2:11" ht="23.5" x14ac:dyDescent="0.55000000000000004">
      <c r="B4" s="90"/>
    </row>
    <row r="6" spans="2:11" x14ac:dyDescent="0.35">
      <c r="B6" s="24" t="s">
        <v>71</v>
      </c>
      <c r="K6" s="24" t="s">
        <v>69</v>
      </c>
    </row>
    <row r="21" spans="2:8" x14ac:dyDescent="0.35">
      <c r="B21" s="24" t="s">
        <v>72</v>
      </c>
    </row>
    <row r="22" spans="2:8" x14ac:dyDescent="0.35">
      <c r="B22" t="s">
        <v>73</v>
      </c>
    </row>
    <row r="28" spans="2:8" x14ac:dyDescent="0.35">
      <c r="H28" s="24" t="s">
        <v>93</v>
      </c>
    </row>
    <row r="29" spans="2:8" x14ac:dyDescent="0.35">
      <c r="H29" s="24" t="s">
        <v>94</v>
      </c>
    </row>
    <row r="30" spans="2:8" x14ac:dyDescent="0.35">
      <c r="H30" s="24" t="s">
        <v>95</v>
      </c>
    </row>
    <row r="36" spans="2:18" x14ac:dyDescent="0.35"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</row>
    <row r="39" spans="2:18" ht="31" x14ac:dyDescent="0.7">
      <c r="B39" s="92" t="s">
        <v>75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AC4A-1A85-4EF4-BC8C-C683C87DF888}">
  <sheetPr>
    <tabColor rgb="FF92D050"/>
  </sheetPr>
  <dimension ref="C3:R49"/>
  <sheetViews>
    <sheetView showGridLines="0" tabSelected="1" zoomScale="59" zoomScaleNormal="80" workbookViewId="0">
      <selection activeCell="C4" sqref="C4:I16"/>
    </sheetView>
  </sheetViews>
  <sheetFormatPr defaultRowHeight="14.5" x14ac:dyDescent="0.35"/>
  <cols>
    <col min="1" max="2" width="8.7265625" customWidth="1"/>
    <col min="3" max="3" width="18.26953125" customWidth="1"/>
    <col min="4" max="4" width="8.7265625" customWidth="1"/>
    <col min="5" max="5" width="11" customWidth="1"/>
    <col min="6" max="6" width="8.7265625" customWidth="1"/>
    <col min="7" max="7" width="9.08984375" customWidth="1"/>
    <col min="8" max="8" width="14" customWidth="1"/>
    <col min="9" max="9" width="13.26953125" customWidth="1"/>
    <col min="10" max="10" width="8.7265625" customWidth="1"/>
    <col min="12" max="12" width="36.81640625" bestFit="1" customWidth="1"/>
    <col min="13" max="13" width="9.08984375" bestFit="1" customWidth="1"/>
    <col min="14" max="14" width="10.1796875" bestFit="1" customWidth="1"/>
    <col min="15" max="15" width="7.453125" bestFit="1" customWidth="1"/>
    <col min="16" max="16" width="9.1796875" bestFit="1" customWidth="1"/>
    <col min="17" max="17" width="13.90625" customWidth="1"/>
    <col min="18" max="18" width="12.54296875" bestFit="1" customWidth="1"/>
  </cols>
  <sheetData>
    <row r="3" spans="3:18" ht="9" customHeight="1" thickBot="1" x14ac:dyDescent="0.4"/>
    <row r="4" spans="3:18" ht="30" customHeight="1" x14ac:dyDescent="0.35">
      <c r="C4" s="55" t="s">
        <v>61</v>
      </c>
      <c r="D4" s="22" t="s">
        <v>36</v>
      </c>
      <c r="E4" s="22" t="s">
        <v>40</v>
      </c>
      <c r="F4" s="22" t="s">
        <v>38</v>
      </c>
      <c r="G4" s="22" t="s">
        <v>56</v>
      </c>
      <c r="H4" s="85" t="s">
        <v>67</v>
      </c>
      <c r="I4" s="22" t="s">
        <v>53</v>
      </c>
      <c r="L4" s="88" t="s">
        <v>64</v>
      </c>
      <c r="M4" s="60" t="s">
        <v>36</v>
      </c>
      <c r="N4" s="60" t="s">
        <v>40</v>
      </c>
      <c r="O4" s="60" t="s">
        <v>38</v>
      </c>
      <c r="P4" s="60" t="s">
        <v>56</v>
      </c>
      <c r="Q4" s="60" t="s">
        <v>57</v>
      </c>
      <c r="R4" s="61" t="s">
        <v>53</v>
      </c>
    </row>
    <row r="5" spans="3:18" x14ac:dyDescent="0.35">
      <c r="C5" t="s">
        <v>39</v>
      </c>
      <c r="D5" s="56" cm="1">
        <f t="array" ref="D5">SUMPRODUCT(ABS('Exp Smoothing - Orange'!B54:B65-'Exp Smoothing - Orange'!C54:C65))/COUNT('Exp Smoothing - Orange'!C54:C65)</f>
        <v>7627.4261558864855</v>
      </c>
      <c r="E5" s="56">
        <f>(SUMXMY2('Exp Smoothing - Orange'!B54:B65,'Exp Smoothing - Orange'!C54:C65)/COUNT('Exp Smoothing - Orange'!C54:C65))^0.5</f>
        <v>9806.35320718804</v>
      </c>
      <c r="F5" s="57" cm="1">
        <f t="array" ref="F5">SUMPRODUCT(ABS(1-'Exp Smoothing - Orange'!C54:C65/'Exp Smoothing - Orange'!B54:B65))/COUNT('Exp Smoothing - Orange'!C54:C65)</f>
        <v>0.19636325701278559</v>
      </c>
      <c r="G5" s="56" cm="1">
        <f t="array" ref="G5">SUM('Exp Smoothing - Orange'!C54:C65-'Exp Smoothing - Orange'!B54:B65)</f>
        <v>-13649.636864567514</v>
      </c>
      <c r="H5" s="56" cm="1">
        <f t="array" ref="H5">MIN('Exp Smoothing - Orange'!C54:C65-'Exp Smoothing - Orange'!B54:B65)</f>
        <v>-21803.539582953545</v>
      </c>
      <c r="I5" t="str">
        <f>IF(G5&gt;0, "OverPredict",IF(G5&lt;0,"UnderPredict","Match"))</f>
        <v>UnderPredict</v>
      </c>
      <c r="L5" s="62" t="s">
        <v>89</v>
      </c>
      <c r="M5" s="50">
        <v>8174.8310955657116</v>
      </c>
      <c r="N5" s="50">
        <v>9489.906019352833</v>
      </c>
      <c r="O5" s="63">
        <v>0.17800292243025015</v>
      </c>
      <c r="P5" s="50">
        <v>-2025.5449112504502</v>
      </c>
      <c r="Q5" s="50">
        <v>-16074.314431999417</v>
      </c>
      <c r="R5" s="64" t="s">
        <v>62</v>
      </c>
    </row>
    <row r="6" spans="3:18" x14ac:dyDescent="0.35">
      <c r="C6" t="s">
        <v>54</v>
      </c>
      <c r="D6" s="56" cm="1">
        <f t="array" ref="D6">SUMPRODUCT(ABS('Exp Smoothing - Orange Opt @'!B54:B65-'Exp Smoothing - Orange Opt @'!C54:C65))/COUNT('Exp Smoothing - Orange Opt @'!C54:C65)</f>
        <v>5283.4491123096186</v>
      </c>
      <c r="E6" s="56">
        <f>(SUMXMY2('Exp Smoothing - Orange Opt @'!B54:B65,'Exp Smoothing - Orange Opt @'!C54:C65)/COUNT('Exp Smoothing - Orange Opt @'!C54:C65))^0.5</f>
        <v>6570.4770100589449</v>
      </c>
      <c r="F6" s="57" cm="1">
        <f t="array" ref="F6">SUMPRODUCT(ABS(1-'Exp Smoothing - Orange Opt @'!C54:C65/'Exp Smoothing - Orange Opt @'!B54:B65))/COUNT('Exp Smoothing - Orange Opt @'!C54:C65)</f>
        <v>0.14827814638736667</v>
      </c>
      <c r="G6" s="56" cm="1">
        <f t="array" ref="G6">SUM('Exp Smoothing - Orange Opt @'!C54:C65-'Exp Smoothing - Orange Opt @'!B54:B65)</f>
        <v>16354.195530599412</v>
      </c>
      <c r="H6" s="56" cm="1">
        <f t="array" ref="H6">MIN('Exp Smoothing - Orange Opt @'!C54:C65-'Exp Smoothing - Orange Opt @'!B54:B65)</f>
        <v>-8478.2360999513476</v>
      </c>
      <c r="I6" t="str">
        <f>IF(G6&gt;0, "OverPredict",IF(G6&lt;0,"UnderPredict","Match"))</f>
        <v>OverPredict</v>
      </c>
      <c r="L6" s="62" t="s">
        <v>90</v>
      </c>
      <c r="M6" s="50">
        <v>7654.32797936727</v>
      </c>
      <c r="N6" s="50">
        <v>9022.6799266398721</v>
      </c>
      <c r="O6" s="63">
        <v>0.16781624382663654</v>
      </c>
      <c r="P6" s="50">
        <v>-6303.33559687448</v>
      </c>
      <c r="Q6" s="50">
        <v>-14049.526147876772</v>
      </c>
      <c r="R6" s="64" t="s">
        <v>62</v>
      </c>
    </row>
    <row r="7" spans="3:18" x14ac:dyDescent="0.35">
      <c r="C7" t="s">
        <v>59</v>
      </c>
      <c r="D7" s="56" cm="1">
        <f t="array" ref="D7">SUMPRODUCT(ABS('Holt-Winters add 18'!F56:F67-'Holt-Winters add 18'!J56:J67))/COUNT('Holt-Winters add 18'!J56:J67)</f>
        <v>6350.1827713792736</v>
      </c>
      <c r="E7" s="56">
        <f>(SUMXMY2('Holt-Winters add 18'!F56:F67,'Holt-Winters add 18'!J56:J67)/COUNT('Holt-Winters add 18'!J56:J67))^0.5</f>
        <v>6746.6563159445686</v>
      </c>
      <c r="F7" s="57" cm="1">
        <f t="array" ref="F7">SUMPRODUCT(ABS(1-'Holt-Winters add 18'!J56:J67/'Holt-Winters add 18'!F56:F67))/COUNT('Holt-Winters add 18'!J56:J67)</f>
        <v>0.16751914183325303</v>
      </c>
      <c r="G7" s="56" cm="1">
        <f t="array" ref="G7">SUM('Holt-Winters add 18'!J56:J67-'Holt-Winters add 18'!F56:F67)</f>
        <v>-7136.4830618590349</v>
      </c>
      <c r="H7" s="58" cm="1">
        <f t="array" ref="H7">MIN('Holt-Winters add 18'!J56:J67-'Holt-Winters add 18'!F56:F67)</f>
        <v>-9190.0992861475133</v>
      </c>
      <c r="I7" t="str">
        <f>IF(G7&gt;0, "OverPredict",IF(G7&lt;0,"UnderPredict","Match"))</f>
        <v>UnderPredict</v>
      </c>
      <c r="L7" s="62" t="s">
        <v>92</v>
      </c>
      <c r="M7" s="50">
        <v>5526.7517154867237</v>
      </c>
      <c r="N7" s="50">
        <v>6895.4937223013203</v>
      </c>
      <c r="O7" s="63">
        <v>0.12252374158289313</v>
      </c>
      <c r="P7" s="50">
        <v>9056.5997725043926</v>
      </c>
      <c r="Q7" s="65">
        <v>-10345.315484538842</v>
      </c>
      <c r="R7" s="64" t="s">
        <v>63</v>
      </c>
    </row>
    <row r="8" spans="3:18" x14ac:dyDescent="0.35">
      <c r="C8" t="s">
        <v>60</v>
      </c>
      <c r="D8" s="56" cm="1">
        <f t="array" ref="D8">SUMPRODUCT(ABS('Holt-Winters mult 18'!F56:F67-'Holt-Winters mult 18'!J56:J67))/COUNT('Holt-Winters mult 18'!J56:J67)</f>
        <v>6397.9903719657477</v>
      </c>
      <c r="E8" s="56">
        <f>(SUMXMY2('Holt-Winters mult 18'!F56:F67,'Holt-Winters mult 18'!J56:J67)/COUNT('Holt-Winters mult 18'!J56:J67))^0.5</f>
        <v>7994.2670232134415</v>
      </c>
      <c r="F8" s="57" cm="1">
        <f t="array" ref="F8">SUMPRODUCT(ABS(1-'Holt-Winters mult 18'!J56:J67/'Holt-Winters mult 18'!F56:F67))/COUNT('Holt-Winters mult 18'!J56:J67)</f>
        <v>0.16734128207446419</v>
      </c>
      <c r="G8" s="59" cm="1">
        <f t="array" ref="G8">SUM('Holt-Winters mult 18'!J56:J67-'Holt-Winters mult 18'!F56:F67)</f>
        <v>-15486.453701063459</v>
      </c>
      <c r="H8" s="59" cm="1">
        <f t="array" ref="H8">MIN('Holt-Winters mult 18'!J56:J67-'Holt-Winters mult 18'!F56:F67)</f>
        <v>-15393.901460559249</v>
      </c>
      <c r="I8" t="str">
        <f>IF(G8&gt;0, "OverPredict",IF(G8&lt;0,"UnderPredict","Match"))</f>
        <v>UnderPredict</v>
      </c>
      <c r="L8" s="62" t="s">
        <v>91</v>
      </c>
      <c r="M8" s="50">
        <v>3635.5247916613703</v>
      </c>
      <c r="N8" s="66">
        <v>5096.045647593578</v>
      </c>
      <c r="O8" s="63">
        <v>8.3059236786180241E-2</v>
      </c>
      <c r="P8" s="67">
        <v>15724.955333042781</v>
      </c>
      <c r="Q8" s="67">
        <v>-7907.0408982781519</v>
      </c>
      <c r="R8" s="64" t="s">
        <v>63</v>
      </c>
    </row>
    <row r="9" spans="3:18" ht="15" thickBot="1" x14ac:dyDescent="0.4">
      <c r="D9" s="54"/>
      <c r="E9" s="54"/>
      <c r="F9" s="54"/>
      <c r="G9" s="54"/>
      <c r="H9" s="54"/>
      <c r="L9" s="68"/>
      <c r="M9" s="69"/>
      <c r="N9" s="69"/>
      <c r="O9" s="69"/>
      <c r="P9" s="69"/>
      <c r="Q9" s="69"/>
      <c r="R9" s="70"/>
    </row>
    <row r="10" spans="3:18" ht="15" thickBot="1" x14ac:dyDescent="0.4">
      <c r="D10" s="54"/>
      <c r="E10" s="54"/>
      <c r="F10" s="54"/>
      <c r="G10" s="54"/>
      <c r="H10" s="54"/>
    </row>
    <row r="11" spans="3:18" x14ac:dyDescent="0.35">
      <c r="D11" s="54"/>
      <c r="E11" s="54"/>
      <c r="F11" s="54"/>
      <c r="G11" s="54"/>
      <c r="H11" s="54"/>
      <c r="L11" s="71"/>
      <c r="M11" s="72"/>
      <c r="N11" s="72"/>
      <c r="O11" s="72"/>
      <c r="P11" s="72"/>
      <c r="Q11" s="72"/>
      <c r="R11" s="73"/>
    </row>
    <row r="12" spans="3:18" ht="29" x14ac:dyDescent="0.35">
      <c r="C12" s="24" t="s">
        <v>66</v>
      </c>
      <c r="D12" s="22" t="s">
        <v>36</v>
      </c>
      <c r="E12" s="22" t="s">
        <v>40</v>
      </c>
      <c r="F12" s="22" t="s">
        <v>38</v>
      </c>
      <c r="G12" s="22" t="s">
        <v>56</v>
      </c>
      <c r="H12" s="85" t="s">
        <v>67</v>
      </c>
      <c r="I12" s="22" t="s">
        <v>53</v>
      </c>
      <c r="L12" s="74" t="s">
        <v>65</v>
      </c>
      <c r="M12" s="75" t="s">
        <v>36</v>
      </c>
      <c r="N12" s="75" t="s">
        <v>40</v>
      </c>
      <c r="O12" s="75" t="s">
        <v>38</v>
      </c>
      <c r="P12" s="75" t="s">
        <v>56</v>
      </c>
      <c r="Q12" s="75" t="s">
        <v>57</v>
      </c>
      <c r="R12" s="76" t="s">
        <v>53</v>
      </c>
    </row>
    <row r="13" spans="3:18" x14ac:dyDescent="0.35">
      <c r="C13" t="s">
        <v>39</v>
      </c>
      <c r="D13" s="56" cm="1">
        <f t="array" ref="D13">SUMPRODUCT(ABS('Exp Smoothing - Orange'!B66:B77-'Exp Smoothing - Orange'!C66:C77))/COUNT('Exp Smoothing - Orange'!C66:C77)</f>
        <v>8174.8310955657116</v>
      </c>
      <c r="E13" s="56">
        <f>(SUMXMY2('Exp Smoothing - Orange'!B66:B77,'Exp Smoothing - Orange'!C66:C77)/COUNT('Exp Smoothing - Orange'!C66:C77))^0.5</f>
        <v>9489.906019352833</v>
      </c>
      <c r="F13" s="57" cm="1">
        <f t="array" ref="F13">SUMPRODUCT(ABS(1-'Exp Smoothing - Orange'!C66:C77/'Exp Smoothing - Orange'!B66:B77))/COUNT('Exp Smoothing - Orange'!C66:C77)</f>
        <v>0.17800292243025015</v>
      </c>
      <c r="G13" s="56" cm="1">
        <f t="array" ref="G13">SUM('Exp Smoothing - Orange'!C66:C77-'Exp Smoothing - Orange'!B66:B77)</f>
        <v>-2025.5449112504502</v>
      </c>
      <c r="H13" s="56" cm="1">
        <f t="array" ref="H13">MIN('Exp Smoothing - Orange'!C66:C77-'Exp Smoothing - Orange'!B66:B77)</f>
        <v>-16074.314431999417</v>
      </c>
      <c r="I13" t="str">
        <f>IF(G13&gt;0, "OverPredict",IF(G13&lt;0,"UnderPredict","Match"))</f>
        <v>UnderPredict</v>
      </c>
      <c r="L13" s="62" t="s">
        <v>89</v>
      </c>
      <c r="M13" s="77">
        <v>9631.3638427717433</v>
      </c>
      <c r="N13" s="77">
        <v>13318.424314236488</v>
      </c>
      <c r="O13" s="78">
        <v>0.4111168253656306</v>
      </c>
      <c r="P13" s="77">
        <v>5145.4695305496243</v>
      </c>
      <c r="Q13" s="77">
        <v>-31467.60283377063</v>
      </c>
      <c r="R13" s="64" t="s">
        <v>63</v>
      </c>
    </row>
    <row r="14" spans="3:18" x14ac:dyDescent="0.35">
      <c r="C14" t="s">
        <v>54</v>
      </c>
      <c r="D14" s="56" cm="1">
        <f t="array" ref="D14">SUMPRODUCT(ABS('Exp Smoothing - Orange Opt @'!B66:B77-'Exp Smoothing - Orange Opt @'!C66:C77))/COUNT('Exp Smoothing - Orange Opt @'!C66:C77)</f>
        <v>7838.9124916986402</v>
      </c>
      <c r="E14" s="56">
        <f>(SUMXMY2('Exp Smoothing - Orange Opt @'!B66:B77,'Exp Smoothing - Orange Opt @'!C66:C77)/COUNT('Exp Smoothing - Orange Opt @'!C66:C77))^0.5</f>
        <v>9406.1373333072879</v>
      </c>
      <c r="F14" s="57" cm="1">
        <f t="array" ref="F14">SUMPRODUCT(ABS(1-'Exp Smoothing - Orange Opt @'!C66:C77/'Exp Smoothing - Orange Opt @'!B66:B77))/COUNT('Exp Smoothing - Orange Opt @'!C66:C77)</f>
        <v>0.16067042252493918</v>
      </c>
      <c r="G14" s="56" cm="1">
        <f t="array" ref="G14">SUM('Exp Smoothing - Orange Opt @'!C66:C77-'Exp Smoothing - Orange Opt @'!B66:B77)</f>
        <v>-60891.93787828763</v>
      </c>
      <c r="H14" s="56" cm="1">
        <f t="array" ref="H14">MIN('Exp Smoothing - Orange Opt @'!C66:C77-'Exp Smoothing - Orange Opt @'!B66:B77)</f>
        <v>-17754.625927840018</v>
      </c>
      <c r="I14" t="str">
        <f>IF(G14&gt;0, "OverPredict",IF(G14&lt;0,"UnderPredict","Match"))</f>
        <v>UnderPredict</v>
      </c>
      <c r="L14" s="62" t="s">
        <v>90</v>
      </c>
      <c r="M14" s="77">
        <v>9617.6358972238068</v>
      </c>
      <c r="N14" s="77">
        <v>13302.361915443169</v>
      </c>
      <c r="O14" s="78">
        <v>0.39254603690147644</v>
      </c>
      <c r="P14" s="77">
        <v>2288.2763975452435</v>
      </c>
      <c r="Q14" s="77">
        <v>-30009.625046041081</v>
      </c>
      <c r="R14" s="64" t="s">
        <v>63</v>
      </c>
    </row>
    <row r="15" spans="3:18" x14ac:dyDescent="0.35">
      <c r="C15" t="s">
        <v>59</v>
      </c>
      <c r="D15" s="56" cm="1">
        <f t="array" ref="D15">SUMPRODUCT(ABS('Holt-Winters add 18'!F68:F79-'Holt-Winters add 18'!J68:J79))/COUNT('Holt-Winters add 18'!J68:J79)</f>
        <v>8336.2958277762464</v>
      </c>
      <c r="E15" s="56">
        <f>(SUMXMY2('Holt-Winters add 18'!F68:F79,'Holt-Winters add 18'!J68:J79)/COUNT('Holt-Winters add 18'!J68:J79))^0.5</f>
        <v>9679.2796331956051</v>
      </c>
      <c r="F15" s="57" cm="1">
        <f t="array" ref="F15">SUMPRODUCT(ABS(1-'Holt-Winters add 18'!J68:J79/'Holt-Winters add 18'!F68:F79))/COUNT('Holt-Winters add 18'!J68:J79)</f>
        <v>0.18527089083950768</v>
      </c>
      <c r="G15" s="56" cm="1">
        <f t="array" ref="G15">SUM('Holt-Winters add 18'!J68:J79-'Holt-Winters add 18'!F68:F79)</f>
        <v>9320.7388725556375</v>
      </c>
      <c r="H15" s="56" cm="1">
        <f t="array" ref="H15">MIN('Holt-Winters add 18'!J68:J79-'Holt-Winters add 18'!F68:F79)</f>
        <v>-19501.268059642374</v>
      </c>
      <c r="I15" t="str">
        <f>IF(G15&gt;0, "OverPredict",IF(G15&lt;0,"UnderPredict","Match"))</f>
        <v>OverPredict</v>
      </c>
      <c r="L15" s="62" t="s">
        <v>92</v>
      </c>
      <c r="M15" s="77">
        <v>9428.1699702457681</v>
      </c>
      <c r="N15" s="77">
        <v>13038.439663246147</v>
      </c>
      <c r="O15" s="78">
        <v>0.46464503719804634</v>
      </c>
      <c r="P15" s="77">
        <v>102530.95079214842</v>
      </c>
      <c r="Q15" s="79">
        <v>-35300.780881709623</v>
      </c>
      <c r="R15" s="64" t="s">
        <v>63</v>
      </c>
    </row>
    <row r="16" spans="3:18" x14ac:dyDescent="0.35">
      <c r="C16" t="s">
        <v>60</v>
      </c>
      <c r="D16" s="56" cm="1">
        <f t="array" ref="D16">SUMPRODUCT(ABS('Holt-Winters mult 18'!F68:F79-'Holt-Winters mult 18'!J68:J79))/COUNT('Holt-Winters mult 18'!J68:J79)</f>
        <v>8208.7424591953168</v>
      </c>
      <c r="E16" s="56">
        <f>(SUMXMY2('Holt-Winters mult 18'!F68:F79,'Holt-Winters mult 18'!J68:J79)/COUNT('Holt-Winters mult 18'!J68:J79))^0.5</f>
        <v>10070.385856847186</v>
      </c>
      <c r="F16" s="57" cm="1">
        <f t="array" ref="F16">SUMPRODUCT(ABS(1-'Holt-Winters mult 18'!J68:J79/'Holt-Winters mult 18'!F68:F79))/COUNT('Holt-Winters mult 18'!J68:J79)</f>
        <v>0.18246767120527832</v>
      </c>
      <c r="G16" s="56" cm="1">
        <f t="array" ref="G16">SUM('Holt-Winters mult 18'!J68:J79-'Holt-Winters mult 18'!F68:F79)</f>
        <v>9132.8605287077226</v>
      </c>
      <c r="H16" s="56" cm="1">
        <f t="array" ref="H16">MIN('Holt-Winters mult 18'!J68:J79-'Holt-Winters mult 18'!F68:F79)</f>
        <v>-20285.675694019046</v>
      </c>
      <c r="I16" t="str">
        <f>IF(G16&gt;0, "OverPredict",IF(G16&lt;0,"UnderPredict","Match"))</f>
        <v>OverPredict</v>
      </c>
      <c r="L16" s="62" t="s">
        <v>91</v>
      </c>
      <c r="M16" s="83">
        <v>10452.751141749157</v>
      </c>
      <c r="N16" s="83">
        <v>14813.653040915311</v>
      </c>
      <c r="O16" s="78">
        <v>0.42781198746199456</v>
      </c>
      <c r="P16" s="83">
        <v>55643.024324263657</v>
      </c>
      <c r="Q16" s="83">
        <v>-33306.734030507163</v>
      </c>
      <c r="R16" s="64" t="s">
        <v>63</v>
      </c>
    </row>
    <row r="17" spans="3:18" x14ac:dyDescent="0.35">
      <c r="L17" s="62"/>
      <c r="M17" s="81"/>
      <c r="N17" s="81"/>
      <c r="O17" s="81"/>
      <c r="P17" s="81"/>
      <c r="Q17" s="81"/>
      <c r="R17" s="64"/>
    </row>
    <row r="18" spans="3:18" x14ac:dyDescent="0.35">
      <c r="L18" s="62"/>
      <c r="M18" s="81"/>
      <c r="N18" s="81"/>
      <c r="O18" s="81"/>
      <c r="P18" s="81"/>
      <c r="Q18" s="81"/>
      <c r="R18" s="64"/>
    </row>
    <row r="19" spans="3:18" x14ac:dyDescent="0.35">
      <c r="L19" s="62"/>
      <c r="M19" s="81"/>
      <c r="N19" s="81"/>
      <c r="O19" s="81"/>
      <c r="P19" s="81"/>
      <c r="Q19" s="81"/>
      <c r="R19" s="64"/>
    </row>
    <row r="20" spans="3:18" x14ac:dyDescent="0.35">
      <c r="L20" s="82" t="s">
        <v>66</v>
      </c>
      <c r="M20" s="81" t="s">
        <v>36</v>
      </c>
      <c r="N20" s="81" t="s">
        <v>40</v>
      </c>
      <c r="O20" s="81" t="s">
        <v>38</v>
      </c>
      <c r="P20" s="81" t="s">
        <v>56</v>
      </c>
      <c r="Q20" s="81" t="s">
        <v>57</v>
      </c>
      <c r="R20" s="64" t="s">
        <v>53</v>
      </c>
    </row>
    <row r="21" spans="3:18" x14ac:dyDescent="0.35">
      <c r="L21" s="62" t="s">
        <v>89</v>
      </c>
      <c r="M21" s="77">
        <v>8174.8310955657116</v>
      </c>
      <c r="N21" s="77">
        <v>9489.906019352833</v>
      </c>
      <c r="O21" s="78">
        <v>0.17800292243025015</v>
      </c>
      <c r="P21" s="77">
        <v>-2025.5449112504502</v>
      </c>
      <c r="Q21" s="77">
        <v>-16074.314431999417</v>
      </c>
      <c r="R21" s="64" t="s">
        <v>62</v>
      </c>
    </row>
    <row r="22" spans="3:18" x14ac:dyDescent="0.35">
      <c r="L22" s="62" t="s">
        <v>90</v>
      </c>
      <c r="M22" s="77">
        <v>8403.540543674515</v>
      </c>
      <c r="N22" s="77">
        <v>9825.5146114816471</v>
      </c>
      <c r="O22" s="78">
        <v>0.18209858364692622</v>
      </c>
      <c r="P22" s="77">
        <v>-1505.4731257703752</v>
      </c>
      <c r="Q22" s="77">
        <v>-17097.262472589551</v>
      </c>
      <c r="R22" s="64" t="s">
        <v>62</v>
      </c>
    </row>
    <row r="23" spans="3:18" ht="29" x14ac:dyDescent="0.35">
      <c r="C23" s="55" t="s">
        <v>61</v>
      </c>
      <c r="D23" s="22" t="s">
        <v>36</v>
      </c>
      <c r="E23" s="22" t="s">
        <v>40</v>
      </c>
      <c r="F23" s="22" t="s">
        <v>38</v>
      </c>
      <c r="G23" s="22" t="s">
        <v>56</v>
      </c>
      <c r="H23" s="85" t="s">
        <v>67</v>
      </c>
      <c r="I23" s="22" t="s">
        <v>53</v>
      </c>
      <c r="L23" s="62" t="s">
        <v>92</v>
      </c>
      <c r="M23" s="77">
        <v>7642.8995057453685</v>
      </c>
      <c r="N23" s="77">
        <v>9210.9283990913627</v>
      </c>
      <c r="O23" s="78">
        <v>0.1596426983703633</v>
      </c>
      <c r="P23" s="77">
        <v>-50269.951203025543</v>
      </c>
      <c r="Q23" s="77">
        <v>-21172.882004906227</v>
      </c>
      <c r="R23" s="64" t="s">
        <v>62</v>
      </c>
    </row>
    <row r="24" spans="3:18" x14ac:dyDescent="0.35">
      <c r="C24" t="s">
        <v>69</v>
      </c>
      <c r="D24" s="56" cm="1">
        <f t="array" ref="D24">SUMPRODUCT(ABS(ARIMA!B2:B65-ARIMA!C2:C65))/COUNT(ARIMA!C2:C65)</f>
        <v>20606.905825677222</v>
      </c>
      <c r="E24" s="56">
        <f>(SUMXMY2(ARIMA!B2:B65,ARIMA!C2:C65)/COUNT(ARIMA!C2:C65))^0.5</f>
        <v>26879.03586135769</v>
      </c>
      <c r="F24" s="57" cm="1">
        <f t="array" ref="F24">SUMPRODUCT(ABS(1-ARIMA!C2:C65/ARIMA!B2:B65))/COUNT(ARIMA!C2:C65)</f>
        <v>0.61371824516534579</v>
      </c>
      <c r="G24" s="56" cm="1">
        <f t="array" ref="G24">SUM(ARIMA!C2:C65-ARIMA!B2:B65)</f>
        <v>-269742.50525012682</v>
      </c>
      <c r="H24" s="56" cm="1">
        <f t="array" ref="H24">MIN(ARIMA!C2:C65-ARIMA!B2:B65)</f>
        <v>-76549.249487430701</v>
      </c>
      <c r="I24" t="str">
        <f>IF(G24&gt;0, "OverPredict",IF(G24&lt;0,"UnderPredict","Match"))</f>
        <v>UnderPredict</v>
      </c>
      <c r="L24" s="62" t="s">
        <v>91</v>
      </c>
      <c r="M24" s="77">
        <v>16137.238305119223</v>
      </c>
      <c r="N24" s="77">
        <v>19908.724661494132</v>
      </c>
      <c r="O24" s="78">
        <v>0.34727863978284113</v>
      </c>
      <c r="P24" s="77">
        <v>38807.395156743958</v>
      </c>
      <c r="Q24" s="77">
        <v>-33805.891983048554</v>
      </c>
      <c r="R24" s="64" t="s">
        <v>63</v>
      </c>
    </row>
    <row r="25" spans="3:18" ht="15" thickBot="1" x14ac:dyDescent="0.4">
      <c r="L25" s="68"/>
      <c r="M25" s="69"/>
      <c r="N25" s="69"/>
      <c r="O25" s="69"/>
      <c r="P25" s="69"/>
      <c r="Q25" s="69"/>
      <c r="R25" s="70"/>
    </row>
    <row r="26" spans="3:18" ht="15" thickBot="1" x14ac:dyDescent="0.4">
      <c r="C26" t="s">
        <v>69</v>
      </c>
      <c r="D26" s="19" cm="1">
        <f t="array" ref="D26">SUMPRODUCT(ABS(ARIMA!B66:B77-ARIMA!C66:C77))/COUNT(ARIMA!C66:C77)</f>
        <v>5321.2090968940493</v>
      </c>
      <c r="E26" s="19">
        <f>(SUMXMY2(ARIMA!B66:B77,ARIMA!C66:C77)/COUNT(ARIMA!C66:C77))^0.5</f>
        <v>7613.9629461956038</v>
      </c>
      <c r="F26" s="23" cm="1">
        <f t="array" ref="F26">SUMPRODUCT(ABS(1-ARIMA!C66:C77/ARIMA!B66:B77))/COUNT(ARIMA!C66:C77)</f>
        <v>0.12741409393788489</v>
      </c>
      <c r="G26" s="19" cm="1">
        <f t="array" ref="G26">SUM(ARIMA!C66:C77-ARIMA!B66:B77)</f>
        <v>28256.516195651384</v>
      </c>
      <c r="H26" s="19" cm="1">
        <f t="array" ref="H26">MIN(ARIMA!C66:C77-ARIMA!B66:B77)</f>
        <v>-6211.2024906372026</v>
      </c>
      <c r="I26" t="str">
        <f>IF(G26&gt;0, "OverPredict",IF(G26&lt;0,"UnderPredict","Match"))</f>
        <v>OverPredict</v>
      </c>
    </row>
    <row r="27" spans="3:18" x14ac:dyDescent="0.35">
      <c r="L27" s="71"/>
      <c r="M27" s="72"/>
      <c r="N27" s="72"/>
      <c r="O27" s="72"/>
      <c r="P27" s="72"/>
      <c r="Q27" s="72"/>
      <c r="R27" s="73"/>
    </row>
    <row r="28" spans="3:18" ht="29" x14ac:dyDescent="0.35">
      <c r="L28" s="74" t="s">
        <v>61</v>
      </c>
      <c r="M28" s="75" t="s">
        <v>36</v>
      </c>
      <c r="N28" s="75" t="s">
        <v>40</v>
      </c>
      <c r="O28" s="75" t="s">
        <v>38</v>
      </c>
      <c r="P28" s="75" t="s">
        <v>56</v>
      </c>
      <c r="Q28" s="86" t="s">
        <v>67</v>
      </c>
      <c r="R28" s="76" t="s">
        <v>53</v>
      </c>
    </row>
    <row r="29" spans="3:18" x14ac:dyDescent="0.35">
      <c r="L29" s="62" t="s">
        <v>89</v>
      </c>
      <c r="M29" s="77">
        <v>7627.4261558864855</v>
      </c>
      <c r="N29" s="77">
        <v>9806.35320718804</v>
      </c>
      <c r="O29" s="78">
        <v>0.19636325701278559</v>
      </c>
      <c r="P29" s="77">
        <v>-13649.636864567514</v>
      </c>
      <c r="Q29" s="77">
        <v>-21803.539582953545</v>
      </c>
      <c r="R29" s="64" t="s">
        <v>62</v>
      </c>
    </row>
    <row r="30" spans="3:18" x14ac:dyDescent="0.35">
      <c r="L30" s="62" t="s">
        <v>90</v>
      </c>
      <c r="M30" s="77">
        <v>5283.4491123096186</v>
      </c>
      <c r="N30" s="77">
        <v>6570.4770100589449</v>
      </c>
      <c r="O30" s="78">
        <v>0.14827814638736667</v>
      </c>
      <c r="P30" s="77">
        <v>16354.195530599412</v>
      </c>
      <c r="Q30" s="77">
        <v>-8478.2360999513476</v>
      </c>
      <c r="R30" s="64" t="s">
        <v>63</v>
      </c>
    </row>
    <row r="31" spans="3:18" x14ac:dyDescent="0.35">
      <c r="L31" s="62" t="s">
        <v>92</v>
      </c>
      <c r="M31" s="77">
        <v>6350.1827713792736</v>
      </c>
      <c r="N31" s="77">
        <v>6746.6563159445686</v>
      </c>
      <c r="O31" s="78">
        <v>0.16751914183325303</v>
      </c>
      <c r="P31" s="77">
        <v>-7136.4830618590349</v>
      </c>
      <c r="Q31" s="79">
        <v>-9190.0992861475133</v>
      </c>
      <c r="R31" s="64" t="s">
        <v>62</v>
      </c>
    </row>
    <row r="32" spans="3:18" x14ac:dyDescent="0.35">
      <c r="L32" s="62" t="s">
        <v>91</v>
      </c>
      <c r="M32" s="77">
        <v>6397.9903719657477</v>
      </c>
      <c r="N32" s="77">
        <v>7994.2670232134415</v>
      </c>
      <c r="O32" s="78">
        <v>0.16734128207446419</v>
      </c>
      <c r="P32" s="80">
        <v>-15486.453701063459</v>
      </c>
      <c r="Q32" s="80">
        <v>-15393.901460559249</v>
      </c>
      <c r="R32" s="64" t="s">
        <v>62</v>
      </c>
    </row>
    <row r="33" spans="11:18" x14ac:dyDescent="0.35">
      <c r="L33" s="62"/>
      <c r="M33" s="81"/>
      <c r="N33" s="81"/>
      <c r="O33" s="81"/>
      <c r="P33" s="81"/>
      <c r="Q33" s="81"/>
      <c r="R33" s="64"/>
    </row>
    <row r="34" spans="11:18" x14ac:dyDescent="0.35">
      <c r="L34" s="62"/>
      <c r="M34" s="81"/>
      <c r="N34" s="81"/>
      <c r="O34" s="81"/>
      <c r="P34" s="81"/>
      <c r="Q34" s="81"/>
      <c r="R34" s="64"/>
    </row>
    <row r="35" spans="11:18" x14ac:dyDescent="0.35">
      <c r="K35" s="93"/>
      <c r="L35" s="62"/>
      <c r="M35" s="81"/>
      <c r="N35" s="81"/>
      <c r="O35" s="81"/>
      <c r="P35" s="81"/>
      <c r="Q35" s="81"/>
      <c r="R35" s="64"/>
    </row>
    <row r="36" spans="11:18" ht="28.5" customHeight="1" x14ac:dyDescent="0.35">
      <c r="L36" s="101" t="s">
        <v>66</v>
      </c>
      <c r="M36" s="102" t="s">
        <v>36</v>
      </c>
      <c r="N36" s="102" t="s">
        <v>40</v>
      </c>
      <c r="O36" s="102" t="s">
        <v>38</v>
      </c>
      <c r="P36" s="102" t="s">
        <v>56</v>
      </c>
      <c r="Q36" s="103" t="s">
        <v>67</v>
      </c>
      <c r="R36" s="102" t="s">
        <v>53</v>
      </c>
    </row>
    <row r="37" spans="11:18" x14ac:dyDescent="0.35">
      <c r="L37" s="94" t="s">
        <v>89</v>
      </c>
      <c r="M37" s="96">
        <v>8174.8310955657116</v>
      </c>
      <c r="N37" s="96">
        <v>9489.906019352833</v>
      </c>
      <c r="O37" s="99">
        <v>0.17800292243025015</v>
      </c>
      <c r="P37" s="96">
        <v>-2025.5449112504502</v>
      </c>
      <c r="Q37" s="96">
        <v>-16074.314431999417</v>
      </c>
      <c r="R37" s="94" t="s">
        <v>62</v>
      </c>
    </row>
    <row r="38" spans="11:18" x14ac:dyDescent="0.35">
      <c r="L38" s="94" t="s">
        <v>90</v>
      </c>
      <c r="M38" s="96">
        <v>7838.9124916986402</v>
      </c>
      <c r="N38" s="96">
        <v>9406.1373333072879</v>
      </c>
      <c r="O38" s="99">
        <v>0.16067042252493918</v>
      </c>
      <c r="P38" s="96">
        <v>-60891.93787828763</v>
      </c>
      <c r="Q38" s="96">
        <v>-17754.625927840018</v>
      </c>
      <c r="R38" s="94" t="s">
        <v>62</v>
      </c>
    </row>
    <row r="39" spans="11:18" x14ac:dyDescent="0.35">
      <c r="L39" s="94" t="s">
        <v>92</v>
      </c>
      <c r="M39" s="96">
        <v>8336.2958277762464</v>
      </c>
      <c r="N39" s="96">
        <v>9679.2796331956051</v>
      </c>
      <c r="O39" s="99">
        <v>0.18527089083950768</v>
      </c>
      <c r="P39" s="96">
        <v>9320.7388725556375</v>
      </c>
      <c r="Q39" s="96">
        <v>-19501.268059642374</v>
      </c>
      <c r="R39" s="94" t="s">
        <v>63</v>
      </c>
    </row>
    <row r="40" spans="11:18" x14ac:dyDescent="0.35">
      <c r="L40" s="94" t="s">
        <v>91</v>
      </c>
      <c r="M40" s="96">
        <v>8208.7424591953168</v>
      </c>
      <c r="N40" s="96">
        <v>10070.385856847186</v>
      </c>
      <c r="O40" s="99">
        <v>0.18246767120527832</v>
      </c>
      <c r="P40" s="96">
        <v>9132.8605287077226</v>
      </c>
      <c r="Q40" s="96">
        <v>-20285.675694019046</v>
      </c>
      <c r="R40" s="94" t="s">
        <v>63</v>
      </c>
    </row>
    <row r="41" spans="11:18" x14ac:dyDescent="0.35">
      <c r="L41" s="95" t="s">
        <v>69</v>
      </c>
      <c r="M41" s="98">
        <v>5321.2090968940493</v>
      </c>
      <c r="N41" s="97">
        <v>7613.9629461956038</v>
      </c>
      <c r="O41" s="100">
        <v>0.12741409393788489</v>
      </c>
      <c r="P41" s="97">
        <v>28256.516195651384</v>
      </c>
      <c r="Q41" s="97">
        <v>-6211.2024906372026</v>
      </c>
      <c r="R41" s="95" t="s">
        <v>63</v>
      </c>
    </row>
    <row r="42" spans="11:18" ht="15" thickBot="1" x14ac:dyDescent="0.4">
      <c r="L42" s="68"/>
      <c r="M42" s="69"/>
      <c r="N42" s="69"/>
      <c r="O42" s="69"/>
      <c r="P42" s="69"/>
      <c r="Q42" s="69"/>
      <c r="R42" s="70"/>
    </row>
    <row r="44" spans="11:18" ht="15" thickBot="1" x14ac:dyDescent="0.4"/>
    <row r="45" spans="11:18" ht="29" x14ac:dyDescent="0.35">
      <c r="L45" s="88" t="s">
        <v>70</v>
      </c>
      <c r="M45" s="60" t="s">
        <v>36</v>
      </c>
      <c r="N45" s="60" t="s">
        <v>40</v>
      </c>
      <c r="O45" s="60" t="s">
        <v>38</v>
      </c>
      <c r="P45" s="60" t="s">
        <v>56</v>
      </c>
      <c r="Q45" s="89" t="s">
        <v>67</v>
      </c>
      <c r="R45" s="61" t="s">
        <v>53</v>
      </c>
    </row>
    <row r="46" spans="11:18" x14ac:dyDescent="0.35">
      <c r="L46" s="62" t="s">
        <v>69</v>
      </c>
      <c r="M46" s="77">
        <v>20606.905825677222</v>
      </c>
      <c r="N46" s="77">
        <v>26879.03586135769</v>
      </c>
      <c r="O46" s="78">
        <v>0.61371824516534579</v>
      </c>
      <c r="P46" s="77">
        <v>-269742.50525012682</v>
      </c>
      <c r="Q46" s="77">
        <v>-76549.249487430701</v>
      </c>
      <c r="R46" s="64" t="s">
        <v>62</v>
      </c>
    </row>
    <row r="47" spans="11:18" x14ac:dyDescent="0.35">
      <c r="L47" s="82" t="s">
        <v>66</v>
      </c>
      <c r="M47" s="87"/>
      <c r="N47" s="87"/>
      <c r="O47" s="87"/>
      <c r="P47" s="87"/>
      <c r="Q47" s="87"/>
      <c r="R47" s="64"/>
    </row>
    <row r="48" spans="11:18" x14ac:dyDescent="0.35">
      <c r="L48" s="62" t="s">
        <v>69</v>
      </c>
      <c r="M48" s="50">
        <v>5321.2090968940493</v>
      </c>
      <c r="N48" s="50">
        <v>7613.9629461956038</v>
      </c>
      <c r="O48" s="63">
        <v>0.12741409393788489</v>
      </c>
      <c r="P48" s="50">
        <v>28256.516195651384</v>
      </c>
      <c r="Q48" s="50">
        <v>-6211.2024906372026</v>
      </c>
      <c r="R48" s="64" t="s">
        <v>63</v>
      </c>
    </row>
    <row r="49" spans="12:18" ht="15" thickBot="1" x14ac:dyDescent="0.4">
      <c r="L49" s="68"/>
      <c r="M49" s="69"/>
      <c r="N49" s="69"/>
      <c r="O49" s="69"/>
      <c r="P49" s="69"/>
      <c r="Q49" s="69"/>
      <c r="R49" s="70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N85"/>
  <sheetViews>
    <sheetView topLeftCell="A66" workbookViewId="0">
      <selection activeCell="B78" sqref="B78"/>
    </sheetView>
  </sheetViews>
  <sheetFormatPr defaultRowHeight="14.5" x14ac:dyDescent="0.35"/>
  <cols>
    <col min="1" max="1" width="10.54296875" bestFit="1" customWidth="1"/>
    <col min="2" max="2" width="7.81640625" bestFit="1" customWidth="1"/>
    <col min="3" max="3" width="9.08984375" bestFit="1" customWidth="1"/>
    <col min="6" max="6" width="10.54296875" bestFit="1" customWidth="1"/>
  </cols>
  <sheetData>
    <row r="1" spans="1:6" x14ac:dyDescent="0.35">
      <c r="A1" t="s">
        <v>3</v>
      </c>
      <c r="B1" s="1" t="s">
        <v>4</v>
      </c>
      <c r="C1" t="s">
        <v>29</v>
      </c>
      <c r="E1" t="s">
        <v>28</v>
      </c>
      <c r="F1">
        <v>0.7</v>
      </c>
    </row>
    <row r="2" spans="1:6" x14ac:dyDescent="0.35">
      <c r="A2" s="3">
        <v>43131</v>
      </c>
      <c r="B2" s="2">
        <v>1213</v>
      </c>
      <c r="C2" s="2">
        <v>1213</v>
      </c>
    </row>
    <row r="3" spans="1:6" x14ac:dyDescent="0.35">
      <c r="A3" s="3">
        <v>43159</v>
      </c>
      <c r="B3" s="2">
        <v>1042</v>
      </c>
      <c r="C3" s="2">
        <f>($F$1*B2)+((1-$F$1)*C2)</f>
        <v>1213</v>
      </c>
    </row>
    <row r="4" spans="1:6" x14ac:dyDescent="0.35">
      <c r="A4" s="3">
        <v>43190</v>
      </c>
      <c r="B4" s="2">
        <v>1142</v>
      </c>
      <c r="C4" s="2">
        <f t="shared" ref="C4:C43" si="0">($F$1*B3)+((1-$F$1)*C3)</f>
        <v>1093.3</v>
      </c>
    </row>
    <row r="5" spans="1:6" x14ac:dyDescent="0.35">
      <c r="A5" s="3">
        <v>43220</v>
      </c>
      <c r="B5" s="2">
        <v>1466</v>
      </c>
      <c r="C5" s="2">
        <f t="shared" si="0"/>
        <v>1127.3899999999999</v>
      </c>
    </row>
    <row r="6" spans="1:6" x14ac:dyDescent="0.35">
      <c r="A6" s="3">
        <v>43251</v>
      </c>
      <c r="B6" s="2">
        <v>1420</v>
      </c>
      <c r="C6" s="2">
        <f t="shared" si="0"/>
        <v>1364.4169999999999</v>
      </c>
    </row>
    <row r="7" spans="1:6" x14ac:dyDescent="0.35">
      <c r="A7" s="3">
        <v>43281</v>
      </c>
      <c r="B7" s="2">
        <v>1146</v>
      </c>
      <c r="C7" s="2">
        <f t="shared" si="0"/>
        <v>1403.3251</v>
      </c>
    </row>
    <row r="8" spans="1:6" x14ac:dyDescent="0.35">
      <c r="A8" s="3">
        <v>43312</v>
      </c>
      <c r="B8" s="2">
        <v>1963</v>
      </c>
      <c r="C8" s="2">
        <f t="shared" si="0"/>
        <v>1223.1975299999999</v>
      </c>
    </row>
    <row r="9" spans="1:6" x14ac:dyDescent="0.35">
      <c r="A9" s="3">
        <v>43343</v>
      </c>
      <c r="B9" s="2">
        <v>1947</v>
      </c>
      <c r="C9" s="2">
        <f t="shared" si="0"/>
        <v>1741.0592589999999</v>
      </c>
    </row>
    <row r="10" spans="1:6" x14ac:dyDescent="0.35">
      <c r="A10" s="3">
        <v>43373</v>
      </c>
      <c r="B10" s="2">
        <v>2079</v>
      </c>
      <c r="C10" s="2">
        <f t="shared" si="0"/>
        <v>1885.2177776999999</v>
      </c>
    </row>
    <row r="11" spans="1:6" x14ac:dyDescent="0.35">
      <c r="A11" s="3">
        <v>43404</v>
      </c>
      <c r="B11" s="2">
        <v>1757</v>
      </c>
      <c r="C11" s="2">
        <f t="shared" si="0"/>
        <v>2020.8653333100001</v>
      </c>
    </row>
    <row r="12" spans="1:6" x14ac:dyDescent="0.35">
      <c r="A12" s="3">
        <v>43434</v>
      </c>
      <c r="B12" s="2">
        <v>1369</v>
      </c>
      <c r="C12" s="2">
        <f t="shared" si="0"/>
        <v>1836.159599993</v>
      </c>
    </row>
    <row r="13" spans="1:6" x14ac:dyDescent="0.35">
      <c r="A13" s="3">
        <v>43465</v>
      </c>
      <c r="B13" s="2">
        <v>1392</v>
      </c>
      <c r="C13" s="2">
        <f t="shared" si="0"/>
        <v>1509.1478799979</v>
      </c>
    </row>
    <row r="14" spans="1:6" x14ac:dyDescent="0.35">
      <c r="A14" s="3">
        <v>43496</v>
      </c>
      <c r="B14" s="2">
        <v>1687</v>
      </c>
      <c r="C14" s="2">
        <f t="shared" si="0"/>
        <v>1427.1443639993699</v>
      </c>
    </row>
    <row r="15" spans="1:6" x14ac:dyDescent="0.35">
      <c r="A15" s="3">
        <v>43524</v>
      </c>
      <c r="B15" s="2">
        <v>1570</v>
      </c>
      <c r="C15" s="2">
        <f t="shared" si="0"/>
        <v>1609.0433091998109</v>
      </c>
    </row>
    <row r="16" spans="1:6" x14ac:dyDescent="0.35">
      <c r="A16" s="3">
        <v>43555</v>
      </c>
      <c r="B16" s="2">
        <v>1730</v>
      </c>
      <c r="C16" s="2">
        <f t="shared" si="0"/>
        <v>1581.7129927599433</v>
      </c>
    </row>
    <row r="17" spans="1:3" x14ac:dyDescent="0.35">
      <c r="A17" s="3">
        <v>43585</v>
      </c>
      <c r="B17" s="2">
        <v>1927</v>
      </c>
      <c r="C17" s="2">
        <f t="shared" si="0"/>
        <v>1685.5138978279831</v>
      </c>
    </row>
    <row r="18" spans="1:3" x14ac:dyDescent="0.35">
      <c r="A18" s="3">
        <v>43616</v>
      </c>
      <c r="B18" s="2">
        <v>2435</v>
      </c>
      <c r="C18" s="2">
        <f t="shared" si="0"/>
        <v>1854.5541693483949</v>
      </c>
    </row>
    <row r="19" spans="1:3" x14ac:dyDescent="0.35">
      <c r="A19" s="3">
        <v>43646</v>
      </c>
      <c r="B19" s="2">
        <v>2699</v>
      </c>
      <c r="C19" s="2">
        <f t="shared" si="0"/>
        <v>2260.8662508045186</v>
      </c>
    </row>
    <row r="20" spans="1:3" x14ac:dyDescent="0.35">
      <c r="A20" s="3">
        <v>43677</v>
      </c>
      <c r="B20" s="2">
        <v>1806</v>
      </c>
      <c r="C20" s="2">
        <f t="shared" si="0"/>
        <v>2567.5598752413557</v>
      </c>
    </row>
    <row r="21" spans="1:3" x14ac:dyDescent="0.35">
      <c r="A21" s="3">
        <v>43708</v>
      </c>
      <c r="B21" s="2">
        <v>195</v>
      </c>
      <c r="C21" s="2">
        <f t="shared" si="0"/>
        <v>2034.4679625724066</v>
      </c>
    </row>
    <row r="22" spans="1:3" x14ac:dyDescent="0.35">
      <c r="A22" s="3">
        <v>43738</v>
      </c>
      <c r="B22" s="2">
        <v>2509</v>
      </c>
      <c r="C22" s="2">
        <f t="shared" si="0"/>
        <v>746.84038877172202</v>
      </c>
    </row>
    <row r="23" spans="1:3" x14ac:dyDescent="0.35">
      <c r="A23" s="3">
        <v>43769</v>
      </c>
      <c r="B23" s="2">
        <v>3153</v>
      </c>
      <c r="C23" s="2">
        <f t="shared" si="0"/>
        <v>1980.3521166315165</v>
      </c>
    </row>
    <row r="24" spans="1:3" x14ac:dyDescent="0.35">
      <c r="A24" s="3">
        <v>43799</v>
      </c>
      <c r="B24" s="2">
        <v>3015</v>
      </c>
      <c r="C24" s="2">
        <f t="shared" si="0"/>
        <v>2801.2056349894551</v>
      </c>
    </row>
    <row r="25" spans="1:3" x14ac:dyDescent="0.35">
      <c r="A25" s="3">
        <v>43830</v>
      </c>
      <c r="B25" s="2">
        <v>1123</v>
      </c>
      <c r="C25" s="2">
        <f t="shared" si="0"/>
        <v>2950.8616904968367</v>
      </c>
    </row>
    <row r="26" spans="1:3" x14ac:dyDescent="0.35">
      <c r="A26" s="3">
        <v>43861</v>
      </c>
      <c r="B26" s="2">
        <v>865</v>
      </c>
      <c r="C26" s="2">
        <f t="shared" si="0"/>
        <v>1671.3585071490511</v>
      </c>
    </row>
    <row r="27" spans="1:3" x14ac:dyDescent="0.35">
      <c r="A27" s="3">
        <v>43890</v>
      </c>
      <c r="B27" s="2">
        <v>3006</v>
      </c>
      <c r="C27" s="2">
        <f t="shared" si="0"/>
        <v>1106.9075521447153</v>
      </c>
    </row>
    <row r="28" spans="1:3" x14ac:dyDescent="0.35">
      <c r="A28" s="3">
        <v>43921</v>
      </c>
      <c r="B28" s="2">
        <v>6136</v>
      </c>
      <c r="C28" s="2">
        <f t="shared" si="0"/>
        <v>2436.2722656434144</v>
      </c>
    </row>
    <row r="29" spans="1:3" x14ac:dyDescent="0.35">
      <c r="A29" s="3">
        <v>43951</v>
      </c>
      <c r="B29" s="2">
        <v>3292</v>
      </c>
      <c r="C29" s="2">
        <f t="shared" si="0"/>
        <v>5026.0816796930239</v>
      </c>
    </row>
    <row r="30" spans="1:3" x14ac:dyDescent="0.35">
      <c r="A30" s="3">
        <v>43982</v>
      </c>
      <c r="B30" s="2">
        <v>1429</v>
      </c>
      <c r="C30" s="2">
        <f t="shared" si="0"/>
        <v>3812.2245039079071</v>
      </c>
    </row>
    <row r="31" spans="1:3" x14ac:dyDescent="0.35">
      <c r="A31" s="3">
        <v>44012</v>
      </c>
      <c r="B31" s="2">
        <v>1471</v>
      </c>
      <c r="C31" s="2">
        <f t="shared" si="0"/>
        <v>2143.9673511723722</v>
      </c>
    </row>
    <row r="32" spans="1:3" x14ac:dyDescent="0.35">
      <c r="A32" s="3">
        <v>44043</v>
      </c>
      <c r="B32" s="5">
        <v>509</v>
      </c>
      <c r="C32" s="2">
        <f t="shared" si="0"/>
        <v>1672.8902053517118</v>
      </c>
    </row>
    <row r="33" spans="1:7" x14ac:dyDescent="0.35">
      <c r="A33" s="3">
        <v>44074</v>
      </c>
      <c r="B33" s="5">
        <v>515</v>
      </c>
      <c r="C33" s="2">
        <f t="shared" si="0"/>
        <v>858.16706160551348</v>
      </c>
    </row>
    <row r="34" spans="1:7" x14ac:dyDescent="0.35">
      <c r="A34" s="3">
        <v>44104</v>
      </c>
      <c r="B34" s="5">
        <v>534</v>
      </c>
      <c r="C34" s="2">
        <f t="shared" si="0"/>
        <v>617.95011848165404</v>
      </c>
    </row>
    <row r="35" spans="1:7" x14ac:dyDescent="0.35">
      <c r="A35" s="3">
        <v>44135</v>
      </c>
      <c r="B35" s="5">
        <v>728</v>
      </c>
      <c r="C35" s="2">
        <f t="shared" si="0"/>
        <v>559.18503554449626</v>
      </c>
    </row>
    <row r="36" spans="1:7" x14ac:dyDescent="0.35">
      <c r="A36" s="3">
        <v>44165</v>
      </c>
      <c r="B36" s="5">
        <v>1138</v>
      </c>
      <c r="C36" s="2">
        <f t="shared" si="0"/>
        <v>677.35551066334892</v>
      </c>
    </row>
    <row r="37" spans="1:7" x14ac:dyDescent="0.35">
      <c r="A37" s="3">
        <v>44196</v>
      </c>
      <c r="B37" s="5">
        <v>1075</v>
      </c>
      <c r="C37" s="2">
        <f t="shared" si="0"/>
        <v>999.80665319900459</v>
      </c>
    </row>
    <row r="38" spans="1:7" x14ac:dyDescent="0.35">
      <c r="A38" s="3">
        <v>44227</v>
      </c>
      <c r="B38" s="5">
        <v>820</v>
      </c>
      <c r="C38" s="2">
        <f t="shared" si="0"/>
        <v>1052.4419959597014</v>
      </c>
      <c r="F38" t="s">
        <v>32</v>
      </c>
      <c r="G38" t="s">
        <v>33</v>
      </c>
    </row>
    <row r="39" spans="1:7" x14ac:dyDescent="0.35">
      <c r="A39" s="3">
        <v>44255</v>
      </c>
      <c r="B39" s="5">
        <v>659</v>
      </c>
      <c r="C39" s="2">
        <f t="shared" si="0"/>
        <v>889.73259878791055</v>
      </c>
      <c r="F39" s="3">
        <v>44012</v>
      </c>
      <c r="G39" s="5">
        <f t="shared" ref="G39:G42" si="1">SUM(C31:C34)</f>
        <v>5292.9747366112515</v>
      </c>
    </row>
    <row r="40" spans="1:7" x14ac:dyDescent="0.35">
      <c r="A40" s="3">
        <v>44286</v>
      </c>
      <c r="B40" s="5">
        <v>808</v>
      </c>
      <c r="C40" s="2">
        <f t="shared" si="0"/>
        <v>728.21977963637323</v>
      </c>
      <c r="F40" s="3">
        <v>44043</v>
      </c>
      <c r="G40" s="5">
        <f t="shared" si="1"/>
        <v>3708.1924209833755</v>
      </c>
    </row>
    <row r="41" spans="1:7" x14ac:dyDescent="0.35">
      <c r="A41" s="3">
        <v>44316</v>
      </c>
      <c r="B41" s="5">
        <v>739</v>
      </c>
      <c r="C41" s="2">
        <f t="shared" si="0"/>
        <v>784.06593389091188</v>
      </c>
      <c r="F41" s="3">
        <v>44074</v>
      </c>
      <c r="G41" s="5">
        <f t="shared" si="1"/>
        <v>2712.6577262950127</v>
      </c>
    </row>
    <row r="42" spans="1:7" x14ac:dyDescent="0.35">
      <c r="A42" s="3">
        <v>44347</v>
      </c>
      <c r="B42" s="5">
        <v>669</v>
      </c>
      <c r="C42" s="2">
        <f t="shared" si="0"/>
        <v>752.51978016727355</v>
      </c>
      <c r="F42" s="3">
        <v>44104</v>
      </c>
      <c r="G42" s="5">
        <f t="shared" si="1"/>
        <v>2854.297317888504</v>
      </c>
    </row>
    <row r="43" spans="1:7" x14ac:dyDescent="0.35">
      <c r="A43" s="3">
        <v>44377</v>
      </c>
      <c r="B43" s="5">
        <v>627</v>
      </c>
      <c r="C43" s="2">
        <f t="shared" si="0"/>
        <v>694.05593405018203</v>
      </c>
      <c r="F43" s="3">
        <v>44135</v>
      </c>
      <c r="G43" s="5">
        <f t="shared" ref="G43:G48" si="2">SUM(C35:C38)</f>
        <v>3288.7891953665512</v>
      </c>
    </row>
    <row r="44" spans="1:7" x14ac:dyDescent="0.35">
      <c r="A44" s="3">
        <v>44408</v>
      </c>
      <c r="B44" s="5">
        <v>515</v>
      </c>
      <c r="C44" s="2">
        <f t="shared" ref="C44:C45" si="3">($F$1*B43)+((1-$F$1)*C43)</f>
        <v>647.11678021505463</v>
      </c>
      <c r="F44" s="3">
        <v>44165</v>
      </c>
      <c r="G44" s="5">
        <f t="shared" si="2"/>
        <v>3619.3367586099657</v>
      </c>
    </row>
    <row r="45" spans="1:7" x14ac:dyDescent="0.35">
      <c r="A45" s="3">
        <v>44439</v>
      </c>
      <c r="B45" s="5">
        <v>549</v>
      </c>
      <c r="C45" s="2">
        <f t="shared" si="3"/>
        <v>554.63503406451639</v>
      </c>
      <c r="F45" s="3">
        <v>44196</v>
      </c>
      <c r="G45" s="5">
        <f t="shared" si="2"/>
        <v>3670.2010275829898</v>
      </c>
    </row>
    <row r="46" spans="1:7" x14ac:dyDescent="0.35">
      <c r="A46" s="3">
        <v>44469</v>
      </c>
      <c r="B46" s="5">
        <v>525</v>
      </c>
      <c r="C46" s="2">
        <f t="shared" ref="C46:C47" si="4">($F$1*B45)+((1-$F$1)*C45)</f>
        <v>550.69051021935491</v>
      </c>
      <c r="F46" s="3">
        <v>44227</v>
      </c>
      <c r="G46" s="5">
        <f t="shared" si="2"/>
        <v>3454.4603082748972</v>
      </c>
    </row>
    <row r="47" spans="1:7" x14ac:dyDescent="0.35">
      <c r="A47" s="3">
        <v>44500</v>
      </c>
      <c r="B47" s="5">
        <v>452</v>
      </c>
      <c r="C47" s="2">
        <f t="shared" si="4"/>
        <v>532.70715306580655</v>
      </c>
      <c r="F47" s="3">
        <v>44255</v>
      </c>
      <c r="G47" s="5">
        <f t="shared" si="2"/>
        <v>3154.538092482469</v>
      </c>
    </row>
    <row r="48" spans="1:7" x14ac:dyDescent="0.35">
      <c r="A48" s="3">
        <v>44530</v>
      </c>
      <c r="B48" s="5">
        <v>438</v>
      </c>
      <c r="C48" s="2">
        <f t="shared" ref="C48:C49" si="5">($F$1*B47)+((1-$F$1)*C47)</f>
        <v>476.21214591974194</v>
      </c>
      <c r="F48" s="3">
        <v>44286</v>
      </c>
      <c r="G48" s="5">
        <f t="shared" si="2"/>
        <v>2958.8614277447405</v>
      </c>
    </row>
    <row r="49" spans="1:7" x14ac:dyDescent="0.35">
      <c r="A49" s="3">
        <v>44561</v>
      </c>
      <c r="B49" s="5">
        <v>373</v>
      </c>
      <c r="C49" s="2">
        <f t="shared" si="5"/>
        <v>449.46364377592261</v>
      </c>
      <c r="F49" s="3">
        <v>44316</v>
      </c>
      <c r="G49" s="5">
        <f t="shared" ref="G49:G50" si="6">SUM(C41:C44)</f>
        <v>2877.7584283234219</v>
      </c>
    </row>
    <row r="50" spans="1:7" x14ac:dyDescent="0.35">
      <c r="A50" s="3">
        <v>44592</v>
      </c>
      <c r="B50" s="5">
        <v>417</v>
      </c>
      <c r="C50" s="2">
        <f t="shared" ref="C50:C51" si="7">($F$1*B49)+((1-$F$1)*C49)</f>
        <v>395.93909313277675</v>
      </c>
      <c r="F50" s="3">
        <v>44347</v>
      </c>
      <c r="G50" s="5">
        <f t="shared" si="6"/>
        <v>2648.3275284970264</v>
      </c>
    </row>
    <row r="51" spans="1:7" x14ac:dyDescent="0.35">
      <c r="A51" s="3">
        <v>44620</v>
      </c>
      <c r="B51" s="5">
        <v>322</v>
      </c>
      <c r="C51" s="2">
        <f t="shared" si="7"/>
        <v>410.68172793983302</v>
      </c>
      <c r="F51" s="3">
        <v>44377</v>
      </c>
      <c r="G51" s="5">
        <f t="shared" ref="G51:G52" si="8">SUM(C43:C46)</f>
        <v>2446.498258549108</v>
      </c>
    </row>
    <row r="52" spans="1:7" x14ac:dyDescent="0.35">
      <c r="A52" s="3">
        <v>44651</v>
      </c>
      <c r="B52" s="5">
        <v>480</v>
      </c>
      <c r="C52" s="2">
        <f t="shared" ref="C52:C53" si="9">($F$1*B51)+((1-$F$1)*C51)</f>
        <v>348.6045183819499</v>
      </c>
      <c r="F52" s="3">
        <v>44408</v>
      </c>
      <c r="G52" s="5">
        <f t="shared" si="8"/>
        <v>2285.1494775647325</v>
      </c>
    </row>
    <row r="53" spans="1:7" x14ac:dyDescent="0.35">
      <c r="A53" s="3">
        <v>44681</v>
      </c>
      <c r="B53" s="5">
        <v>450</v>
      </c>
      <c r="C53" s="2">
        <f t="shared" si="9"/>
        <v>440.58135551458497</v>
      </c>
      <c r="F53" s="3">
        <v>44439</v>
      </c>
      <c r="G53" s="5">
        <f t="shared" ref="G53:G54" si="10">SUM(C45:C48)</f>
        <v>2114.24484326942</v>
      </c>
    </row>
    <row r="54" spans="1:7" x14ac:dyDescent="0.35">
      <c r="A54" s="3">
        <v>44712</v>
      </c>
      <c r="B54" s="5">
        <v>477</v>
      </c>
      <c r="C54" s="2">
        <f t="shared" ref="C54:C79" si="11">($F$1*B53)+((1-$F$1)*C53)</f>
        <v>447.1744066543755</v>
      </c>
      <c r="F54" s="3">
        <v>44469</v>
      </c>
      <c r="G54" s="5">
        <f t="shared" si="10"/>
        <v>2009.073452980826</v>
      </c>
    </row>
    <row r="55" spans="1:7" x14ac:dyDescent="0.35">
      <c r="A55" s="3">
        <v>44742</v>
      </c>
      <c r="B55" s="5">
        <v>570</v>
      </c>
      <c r="C55" s="2">
        <f t="shared" si="11"/>
        <v>468.05232199631268</v>
      </c>
      <c r="F55" s="3">
        <v>44500</v>
      </c>
      <c r="G55" s="5">
        <f t="shared" ref="G55:G56" si="12">SUM(C47:C50)</f>
        <v>1854.3220358942476</v>
      </c>
    </row>
    <row r="56" spans="1:7" x14ac:dyDescent="0.35">
      <c r="A56" s="3">
        <v>44773</v>
      </c>
      <c r="B56" s="5">
        <v>416</v>
      </c>
      <c r="C56" s="2">
        <f t="shared" si="11"/>
        <v>539.41569659889387</v>
      </c>
      <c r="F56" s="3">
        <v>44530</v>
      </c>
      <c r="G56" s="5">
        <f t="shared" si="12"/>
        <v>1732.2966107682744</v>
      </c>
    </row>
    <row r="57" spans="1:7" x14ac:dyDescent="0.35">
      <c r="A57" s="3">
        <v>44804</v>
      </c>
      <c r="B57" s="5">
        <v>453</v>
      </c>
      <c r="C57" s="2">
        <f t="shared" ref="C57:C59" si="13">($F$1*B56)+((1-$F$1)*C56)</f>
        <v>453.02470897966816</v>
      </c>
      <c r="F57" s="3">
        <v>44561</v>
      </c>
      <c r="G57" s="5">
        <f t="shared" ref="G57:G71" si="14">SUM(C49:C52)</f>
        <v>1604.6889832304823</v>
      </c>
    </row>
    <row r="58" spans="1:7" x14ac:dyDescent="0.35">
      <c r="A58" s="3">
        <v>44834</v>
      </c>
      <c r="B58" s="5">
        <v>532</v>
      </c>
      <c r="C58" s="2">
        <f t="shared" si="11"/>
        <v>453.00741269390045</v>
      </c>
      <c r="F58" s="3">
        <v>44592</v>
      </c>
      <c r="G58" s="5">
        <f t="shared" si="14"/>
        <v>1595.8066949691447</v>
      </c>
    </row>
    <row r="59" spans="1:7" x14ac:dyDescent="0.35">
      <c r="A59" s="3">
        <v>44865</v>
      </c>
      <c r="B59" s="5">
        <v>553</v>
      </c>
      <c r="C59" s="2">
        <f t="shared" si="13"/>
        <v>508.30222380817014</v>
      </c>
      <c r="F59" s="3">
        <v>44620</v>
      </c>
      <c r="G59" s="5">
        <f t="shared" si="14"/>
        <v>1647.0420084907437</v>
      </c>
    </row>
    <row r="60" spans="1:7" x14ac:dyDescent="0.35">
      <c r="A60" s="3">
        <v>44895</v>
      </c>
      <c r="B60" s="5">
        <v>439</v>
      </c>
      <c r="C60" s="2">
        <f t="shared" si="11"/>
        <v>539.59066714245103</v>
      </c>
      <c r="F60" s="3">
        <v>44651</v>
      </c>
      <c r="G60" s="5">
        <f t="shared" si="14"/>
        <v>1704.4126025472231</v>
      </c>
    </row>
    <row r="61" spans="1:7" x14ac:dyDescent="0.35">
      <c r="A61" s="3">
        <v>44926</v>
      </c>
      <c r="B61" s="5">
        <v>557</v>
      </c>
      <c r="C61" s="2">
        <f t="shared" si="11"/>
        <v>469.17720014273527</v>
      </c>
      <c r="F61" s="3">
        <v>44681</v>
      </c>
      <c r="G61" s="5">
        <f t="shared" si="14"/>
        <v>1895.223780764167</v>
      </c>
    </row>
    <row r="62" spans="1:7" x14ac:dyDescent="0.35">
      <c r="A62" s="3">
        <v>44957</v>
      </c>
      <c r="B62" s="5">
        <v>577</v>
      </c>
      <c r="C62" s="2">
        <f t="shared" si="11"/>
        <v>530.65316004282056</v>
      </c>
      <c r="F62" s="3">
        <v>44712</v>
      </c>
      <c r="G62" s="5">
        <f t="shared" si="14"/>
        <v>1907.6671342292502</v>
      </c>
    </row>
    <row r="63" spans="1:7" x14ac:dyDescent="0.35">
      <c r="A63" s="3">
        <v>44985</v>
      </c>
      <c r="B63" s="5">
        <v>521</v>
      </c>
      <c r="C63" s="2">
        <f t="shared" si="11"/>
        <v>563.09594801284618</v>
      </c>
      <c r="F63" s="3">
        <v>44742</v>
      </c>
      <c r="G63" s="5">
        <f t="shared" si="14"/>
        <v>1913.5001402687751</v>
      </c>
    </row>
    <row r="64" spans="1:7" x14ac:dyDescent="0.35">
      <c r="A64" s="3">
        <v>45016</v>
      </c>
      <c r="B64" s="5">
        <v>669</v>
      </c>
      <c r="C64" s="2">
        <f t="shared" si="11"/>
        <v>533.62878440385384</v>
      </c>
      <c r="F64" s="3">
        <v>44773</v>
      </c>
      <c r="G64" s="5">
        <f t="shared" si="14"/>
        <v>1953.7500420806325</v>
      </c>
    </row>
    <row r="65" spans="1:40" x14ac:dyDescent="0.35">
      <c r="A65" s="3">
        <v>45046</v>
      </c>
      <c r="B65" s="5">
        <v>637</v>
      </c>
      <c r="C65" s="2">
        <f t="shared" si="11"/>
        <v>628.38863532115613</v>
      </c>
      <c r="F65" s="3">
        <v>44804</v>
      </c>
      <c r="G65" s="5">
        <f t="shared" si="14"/>
        <v>1953.9250126241895</v>
      </c>
    </row>
    <row r="66" spans="1:40" x14ac:dyDescent="0.35">
      <c r="A66" s="3">
        <v>45077</v>
      </c>
      <c r="B66" s="5">
        <v>752</v>
      </c>
      <c r="C66" s="2">
        <f t="shared" si="11"/>
        <v>634.41659059634685</v>
      </c>
      <c r="F66" s="3">
        <v>44834</v>
      </c>
      <c r="G66" s="5">
        <f t="shared" si="14"/>
        <v>1970.0775037872568</v>
      </c>
    </row>
    <row r="67" spans="1:40" x14ac:dyDescent="0.35">
      <c r="A67" s="3">
        <v>45107</v>
      </c>
      <c r="B67" s="5">
        <v>693</v>
      </c>
      <c r="C67" s="2">
        <f t="shared" si="11"/>
        <v>716.72497717890406</v>
      </c>
      <c r="F67" s="3">
        <v>44865</v>
      </c>
      <c r="G67" s="5">
        <f t="shared" si="14"/>
        <v>2047.7232511361772</v>
      </c>
    </row>
    <row r="68" spans="1:40" x14ac:dyDescent="0.35">
      <c r="A68" s="3">
        <v>45138</v>
      </c>
      <c r="B68" s="5">
        <v>416</v>
      </c>
      <c r="C68" s="2">
        <f t="shared" si="11"/>
        <v>700.11749315367115</v>
      </c>
      <c r="F68" s="3">
        <v>44895</v>
      </c>
      <c r="G68" s="5">
        <f t="shared" si="14"/>
        <v>2102.5169753408532</v>
      </c>
    </row>
    <row r="69" spans="1:40" x14ac:dyDescent="0.35">
      <c r="A69" s="3">
        <v>45169</v>
      </c>
      <c r="B69" s="5">
        <v>603</v>
      </c>
      <c r="C69" s="2">
        <f t="shared" si="11"/>
        <v>501.23524794610137</v>
      </c>
      <c r="F69" s="3">
        <v>44926</v>
      </c>
      <c r="G69" s="5">
        <f t="shared" si="14"/>
        <v>2096.5550926022561</v>
      </c>
    </row>
    <row r="70" spans="1:40" x14ac:dyDescent="0.35">
      <c r="A70" s="3">
        <v>45199</v>
      </c>
      <c r="B70" s="5">
        <v>361</v>
      </c>
      <c r="C70" s="2">
        <f t="shared" si="11"/>
        <v>572.47057438383035</v>
      </c>
      <c r="F70" s="3">
        <v>44957</v>
      </c>
      <c r="G70" s="5">
        <f t="shared" si="14"/>
        <v>2255.7665277806768</v>
      </c>
    </row>
    <row r="71" spans="1:40" x14ac:dyDescent="0.35">
      <c r="A71" s="3">
        <v>45230</v>
      </c>
      <c r="B71" s="5">
        <v>540</v>
      </c>
      <c r="C71" s="2">
        <f t="shared" si="11"/>
        <v>424.44117231514912</v>
      </c>
      <c r="F71" s="3">
        <v>44985</v>
      </c>
      <c r="G71" s="5">
        <f t="shared" si="14"/>
        <v>2359.529958334203</v>
      </c>
    </row>
    <row r="72" spans="1:40" x14ac:dyDescent="0.35">
      <c r="A72" s="3">
        <v>45260</v>
      </c>
      <c r="B72" s="5">
        <v>505</v>
      </c>
      <c r="C72" s="2">
        <f t="shared" si="11"/>
        <v>505.33235169454474</v>
      </c>
      <c r="F72" s="3">
        <v>45016</v>
      </c>
      <c r="G72" s="5">
        <f t="shared" ref="G72:G85" si="15">SUM(C64:C67)</f>
        <v>2513.158987500261</v>
      </c>
    </row>
    <row r="73" spans="1:40" x14ac:dyDescent="0.35">
      <c r="A73" s="3">
        <v>45291</v>
      </c>
      <c r="B73" s="5">
        <v>535</v>
      </c>
      <c r="C73" s="2">
        <f t="shared" si="11"/>
        <v>505.09970550836346</v>
      </c>
      <c r="F73" s="3">
        <v>45046</v>
      </c>
      <c r="G73" s="5">
        <f t="shared" si="15"/>
        <v>2679.6476962500783</v>
      </c>
    </row>
    <row r="74" spans="1:40" x14ac:dyDescent="0.35">
      <c r="A74" s="3">
        <v>45322</v>
      </c>
      <c r="B74" s="5">
        <v>630</v>
      </c>
      <c r="C74" s="2">
        <f t="shared" si="11"/>
        <v>526.0299116525091</v>
      </c>
      <c r="F74" s="3">
        <v>45077</v>
      </c>
      <c r="G74" s="5">
        <f t="shared" si="15"/>
        <v>2552.4943088750233</v>
      </c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</row>
    <row r="75" spans="1:40" x14ac:dyDescent="0.35">
      <c r="A75" s="3">
        <v>45351</v>
      </c>
      <c r="B75" s="5">
        <v>541</v>
      </c>
      <c r="C75" s="2">
        <f t="shared" si="11"/>
        <v>598.80897349575275</v>
      </c>
      <c r="F75" s="3">
        <v>45107</v>
      </c>
      <c r="G75" s="5">
        <f t="shared" si="15"/>
        <v>2490.5482926625068</v>
      </c>
    </row>
    <row r="76" spans="1:40" x14ac:dyDescent="0.35">
      <c r="A76" s="3">
        <v>45382</v>
      </c>
      <c r="B76" s="5">
        <v>595</v>
      </c>
      <c r="C76" s="2">
        <f t="shared" si="11"/>
        <v>558.34269204872589</v>
      </c>
      <c r="F76" s="3">
        <v>45138</v>
      </c>
      <c r="G76" s="5">
        <f t="shared" si="15"/>
        <v>2198.2644877987523</v>
      </c>
    </row>
    <row r="77" spans="1:40" x14ac:dyDescent="0.35">
      <c r="A77" s="3">
        <v>45412</v>
      </c>
      <c r="B77">
        <v>616</v>
      </c>
      <c r="C77" s="2">
        <f t="shared" si="11"/>
        <v>584.00280761461772</v>
      </c>
      <c r="F77" s="3">
        <v>45169</v>
      </c>
      <c r="G77" s="5">
        <f t="shared" si="15"/>
        <v>2003.4793463396256</v>
      </c>
    </row>
    <row r="78" spans="1:40" x14ac:dyDescent="0.35">
      <c r="A78" s="3">
        <v>45443</v>
      </c>
      <c r="C78" s="2">
        <f t="shared" si="11"/>
        <v>606.40084228438536</v>
      </c>
      <c r="F78" s="3">
        <v>45199</v>
      </c>
      <c r="G78" s="5">
        <f t="shared" si="15"/>
        <v>2007.3438039018877</v>
      </c>
    </row>
    <row r="79" spans="1:40" x14ac:dyDescent="0.35">
      <c r="A79" s="3">
        <v>45473</v>
      </c>
      <c r="C79" s="2">
        <f t="shared" si="11"/>
        <v>181.92025268531563</v>
      </c>
      <c r="F79" s="3">
        <v>45230</v>
      </c>
      <c r="G79" s="5">
        <f t="shared" si="15"/>
        <v>1960.9031411705664</v>
      </c>
    </row>
    <row r="80" spans="1:40" x14ac:dyDescent="0.35">
      <c r="F80" s="3">
        <v>45260</v>
      </c>
      <c r="G80" s="5">
        <f t="shared" si="15"/>
        <v>2135.2709423511701</v>
      </c>
    </row>
    <row r="81" spans="6:7" x14ac:dyDescent="0.35">
      <c r="F81" s="3">
        <v>45291</v>
      </c>
      <c r="G81" s="5">
        <f t="shared" si="15"/>
        <v>2188.2812827053513</v>
      </c>
    </row>
    <row r="82" spans="6:7" x14ac:dyDescent="0.35">
      <c r="F82" s="3">
        <v>45322</v>
      </c>
      <c r="G82" s="5">
        <f t="shared" si="15"/>
        <v>2267.1843848116055</v>
      </c>
    </row>
    <row r="83" spans="6:7" x14ac:dyDescent="0.35">
      <c r="F83" s="3">
        <v>45351</v>
      </c>
      <c r="G83" s="5">
        <f t="shared" si="15"/>
        <v>2347.555315443482</v>
      </c>
    </row>
    <row r="84" spans="6:7" x14ac:dyDescent="0.35">
      <c r="F84" s="3">
        <v>45382</v>
      </c>
      <c r="G84" s="5">
        <f t="shared" si="15"/>
        <v>1930.6665946330445</v>
      </c>
    </row>
    <row r="85" spans="6:7" x14ac:dyDescent="0.35">
      <c r="F85" s="3">
        <v>45412</v>
      </c>
      <c r="G85" s="5">
        <f t="shared" si="15"/>
        <v>1372.3239025843186</v>
      </c>
    </row>
  </sheetData>
  <pageMargins left="0.7" right="0.7" top="0.75" bottom="0.75" header="0.3" footer="0.3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82"/>
  <sheetViews>
    <sheetView topLeftCell="A70" workbookViewId="0">
      <selection activeCell="I83" sqref="I83"/>
    </sheetView>
  </sheetViews>
  <sheetFormatPr defaultRowHeight="14.5" x14ac:dyDescent="0.35"/>
  <cols>
    <col min="1" max="1" width="10.54296875" bestFit="1" customWidth="1"/>
    <col min="2" max="2" width="9.08984375" bestFit="1" customWidth="1"/>
    <col min="3" max="3" width="8" bestFit="1" customWidth="1"/>
    <col min="6" max="6" width="10.54296875" bestFit="1" customWidth="1"/>
  </cols>
  <sheetData>
    <row r="1" spans="1:6" x14ac:dyDescent="0.35">
      <c r="A1" t="s">
        <v>3</v>
      </c>
      <c r="B1" s="1" t="s">
        <v>4</v>
      </c>
      <c r="C1" t="s">
        <v>29</v>
      </c>
      <c r="E1" t="s">
        <v>28</v>
      </c>
      <c r="F1">
        <v>0.7</v>
      </c>
    </row>
    <row r="2" spans="1:6" x14ac:dyDescent="0.35">
      <c r="A2" s="3">
        <v>43220</v>
      </c>
      <c r="B2" s="2">
        <v>5</v>
      </c>
      <c r="C2" s="2">
        <v>5</v>
      </c>
    </row>
    <row r="3" spans="1:6" x14ac:dyDescent="0.35">
      <c r="A3" s="3">
        <v>43251</v>
      </c>
      <c r="B3" s="2">
        <v>321</v>
      </c>
      <c r="C3" s="2">
        <f>($F$1*B2)+((1-$F$1)*C2)</f>
        <v>5</v>
      </c>
    </row>
    <row r="4" spans="1:6" x14ac:dyDescent="0.35">
      <c r="A4" s="3">
        <v>43281</v>
      </c>
      <c r="B4" s="2">
        <v>697</v>
      </c>
      <c r="C4" s="2">
        <f t="shared" ref="C4:C39" si="0">($F$1*B3)+((1-$F$1)*C3)</f>
        <v>226.2</v>
      </c>
    </row>
    <row r="5" spans="1:6" x14ac:dyDescent="0.35">
      <c r="A5" s="3">
        <v>43312</v>
      </c>
      <c r="B5" s="2">
        <v>3785</v>
      </c>
      <c r="C5" s="2">
        <f t="shared" si="0"/>
        <v>555.76</v>
      </c>
    </row>
    <row r="6" spans="1:6" x14ac:dyDescent="0.35">
      <c r="A6" s="3">
        <v>43343</v>
      </c>
      <c r="B6" s="2">
        <v>3551</v>
      </c>
      <c r="C6" s="2">
        <f t="shared" si="0"/>
        <v>2816.2280000000001</v>
      </c>
    </row>
    <row r="7" spans="1:6" x14ac:dyDescent="0.35">
      <c r="A7" s="3">
        <v>43373</v>
      </c>
      <c r="B7" s="2">
        <v>1218</v>
      </c>
      <c r="C7" s="2">
        <f t="shared" si="0"/>
        <v>3330.5684000000001</v>
      </c>
    </row>
    <row r="8" spans="1:6" x14ac:dyDescent="0.35">
      <c r="A8" s="3">
        <v>43404</v>
      </c>
      <c r="B8" s="2">
        <v>1194</v>
      </c>
      <c r="C8" s="2">
        <f t="shared" si="0"/>
        <v>1851.77052</v>
      </c>
    </row>
    <row r="9" spans="1:6" x14ac:dyDescent="0.35">
      <c r="A9" s="3">
        <v>43434</v>
      </c>
      <c r="B9" s="2">
        <v>831</v>
      </c>
      <c r="C9" s="2">
        <f t="shared" si="0"/>
        <v>1391.3311560000002</v>
      </c>
    </row>
    <row r="10" spans="1:6" x14ac:dyDescent="0.35">
      <c r="A10" s="3">
        <v>43465</v>
      </c>
      <c r="B10" s="2">
        <v>1299</v>
      </c>
      <c r="C10" s="2">
        <f t="shared" si="0"/>
        <v>999.09934680000003</v>
      </c>
    </row>
    <row r="11" spans="1:6" x14ac:dyDescent="0.35">
      <c r="A11" s="3">
        <v>43496</v>
      </c>
      <c r="B11" s="2">
        <v>1069</v>
      </c>
      <c r="C11" s="2">
        <f t="shared" si="0"/>
        <v>1209.02980404</v>
      </c>
    </row>
    <row r="12" spans="1:6" x14ac:dyDescent="0.35">
      <c r="A12" s="3">
        <v>43524</v>
      </c>
      <c r="B12" s="2">
        <v>793</v>
      </c>
      <c r="C12" s="2">
        <f t="shared" si="0"/>
        <v>1111.0089412120001</v>
      </c>
    </row>
    <row r="13" spans="1:6" x14ac:dyDescent="0.35">
      <c r="A13" s="3">
        <v>43555</v>
      </c>
      <c r="B13" s="2">
        <v>699</v>
      </c>
      <c r="C13" s="2">
        <f t="shared" si="0"/>
        <v>888.40268236359998</v>
      </c>
    </row>
    <row r="14" spans="1:6" x14ac:dyDescent="0.35">
      <c r="A14" s="3">
        <v>43585</v>
      </c>
      <c r="B14" s="2">
        <v>810</v>
      </c>
      <c r="C14" s="2">
        <f t="shared" si="0"/>
        <v>755.82080470907999</v>
      </c>
    </row>
    <row r="15" spans="1:6" x14ac:dyDescent="0.35">
      <c r="A15" s="3">
        <v>43616</v>
      </c>
      <c r="B15" s="2">
        <v>976</v>
      </c>
      <c r="C15" s="2">
        <f t="shared" si="0"/>
        <v>793.74624141272398</v>
      </c>
    </row>
    <row r="16" spans="1:6" x14ac:dyDescent="0.35">
      <c r="A16" s="3">
        <v>43646</v>
      </c>
      <c r="B16" s="2">
        <v>1009</v>
      </c>
      <c r="C16" s="2">
        <f t="shared" si="0"/>
        <v>921.32387242381719</v>
      </c>
    </row>
    <row r="17" spans="1:3" x14ac:dyDescent="0.35">
      <c r="A17" s="3">
        <v>43677</v>
      </c>
      <c r="B17" s="2">
        <v>1823</v>
      </c>
      <c r="C17" s="2">
        <f t="shared" si="0"/>
        <v>982.69716172714516</v>
      </c>
    </row>
    <row r="18" spans="1:3" x14ac:dyDescent="0.35">
      <c r="A18" s="3">
        <v>43708</v>
      </c>
      <c r="B18" s="2">
        <v>2186</v>
      </c>
      <c r="C18" s="2">
        <f t="shared" si="0"/>
        <v>1570.9091485181434</v>
      </c>
    </row>
    <row r="19" spans="1:3" x14ac:dyDescent="0.35">
      <c r="A19" s="3">
        <v>43738</v>
      </c>
      <c r="B19" s="2">
        <v>3076</v>
      </c>
      <c r="C19" s="2">
        <f t="shared" si="0"/>
        <v>2001.4727445554429</v>
      </c>
    </row>
    <row r="20" spans="1:3" x14ac:dyDescent="0.35">
      <c r="A20" s="3">
        <v>43769</v>
      </c>
      <c r="B20" s="2">
        <v>3630</v>
      </c>
      <c r="C20" s="2">
        <f t="shared" si="0"/>
        <v>2753.6418233666327</v>
      </c>
    </row>
    <row r="21" spans="1:3" x14ac:dyDescent="0.35">
      <c r="A21" s="3">
        <v>43799</v>
      </c>
      <c r="B21" s="2">
        <v>2653</v>
      </c>
      <c r="C21" s="2">
        <f t="shared" si="0"/>
        <v>3367.0925470099901</v>
      </c>
    </row>
    <row r="22" spans="1:3" x14ac:dyDescent="0.35">
      <c r="A22" s="3">
        <v>43830</v>
      </c>
      <c r="B22" s="2">
        <v>3338</v>
      </c>
      <c r="C22" s="2">
        <f t="shared" si="0"/>
        <v>2867.2277641029968</v>
      </c>
    </row>
    <row r="23" spans="1:3" x14ac:dyDescent="0.35">
      <c r="A23" s="3">
        <v>43861</v>
      </c>
      <c r="B23" s="2">
        <v>3023</v>
      </c>
      <c r="C23" s="2">
        <f t="shared" si="0"/>
        <v>3196.7683292308993</v>
      </c>
    </row>
    <row r="24" spans="1:3" x14ac:dyDescent="0.35">
      <c r="A24" s="3">
        <v>43890</v>
      </c>
      <c r="B24" s="2">
        <v>2302</v>
      </c>
      <c r="C24" s="2">
        <f t="shared" si="0"/>
        <v>3075.1304987692697</v>
      </c>
    </row>
    <row r="25" spans="1:3" x14ac:dyDescent="0.35">
      <c r="A25" s="3">
        <v>43921</v>
      </c>
      <c r="B25" s="2">
        <v>3344</v>
      </c>
      <c r="C25" s="2">
        <f t="shared" si="0"/>
        <v>2533.9391496307808</v>
      </c>
    </row>
    <row r="26" spans="1:3" x14ac:dyDescent="0.35">
      <c r="A26" s="3">
        <v>43951</v>
      </c>
      <c r="B26" s="2">
        <v>2201</v>
      </c>
      <c r="C26" s="2">
        <f t="shared" si="0"/>
        <v>3100.9817448892341</v>
      </c>
    </row>
    <row r="27" spans="1:3" x14ac:dyDescent="0.35">
      <c r="A27" s="3">
        <v>43982</v>
      </c>
      <c r="B27" s="2">
        <v>2030</v>
      </c>
      <c r="C27" s="2">
        <f t="shared" si="0"/>
        <v>2470.9945234667703</v>
      </c>
    </row>
    <row r="28" spans="1:3" x14ac:dyDescent="0.35">
      <c r="A28" s="3">
        <v>44012</v>
      </c>
      <c r="B28" s="2">
        <v>1916</v>
      </c>
      <c r="C28" s="2">
        <f t="shared" si="0"/>
        <v>2162.2983570400311</v>
      </c>
    </row>
    <row r="29" spans="1:3" x14ac:dyDescent="0.35">
      <c r="A29" s="3">
        <v>44043</v>
      </c>
      <c r="B29" s="2">
        <v>489</v>
      </c>
      <c r="C29" s="2">
        <f t="shared" si="0"/>
        <v>1989.8895071120091</v>
      </c>
    </row>
    <row r="30" spans="1:3" x14ac:dyDescent="0.35">
      <c r="A30" s="3">
        <v>44074</v>
      </c>
      <c r="B30" s="2">
        <v>437</v>
      </c>
      <c r="C30" s="2">
        <f t="shared" si="0"/>
        <v>939.26685213360281</v>
      </c>
    </row>
    <row r="31" spans="1:3" x14ac:dyDescent="0.35">
      <c r="A31" s="3">
        <v>44104</v>
      </c>
      <c r="B31" s="2">
        <v>472</v>
      </c>
      <c r="C31" s="2">
        <f t="shared" si="0"/>
        <v>587.68005564008081</v>
      </c>
    </row>
    <row r="32" spans="1:3" x14ac:dyDescent="0.35">
      <c r="A32" s="3">
        <v>44135</v>
      </c>
      <c r="B32" s="2">
        <v>415</v>
      </c>
      <c r="C32" s="2">
        <f t="shared" si="0"/>
        <v>506.70401669202425</v>
      </c>
    </row>
    <row r="33" spans="1:7" x14ac:dyDescent="0.35">
      <c r="A33" s="3">
        <v>44165</v>
      </c>
      <c r="B33" s="2">
        <v>468</v>
      </c>
      <c r="C33" s="2">
        <f t="shared" si="0"/>
        <v>442.51120500760726</v>
      </c>
    </row>
    <row r="34" spans="1:7" x14ac:dyDescent="0.35">
      <c r="A34" s="3">
        <v>44196</v>
      </c>
      <c r="B34" s="2">
        <v>402</v>
      </c>
      <c r="C34" s="2">
        <f t="shared" si="0"/>
        <v>460.35336150228216</v>
      </c>
    </row>
    <row r="35" spans="1:7" x14ac:dyDescent="0.35">
      <c r="A35" s="3">
        <v>44227</v>
      </c>
      <c r="B35" s="2">
        <v>335</v>
      </c>
      <c r="C35" s="2">
        <f t="shared" si="0"/>
        <v>419.50600845068465</v>
      </c>
      <c r="F35" t="s">
        <v>30</v>
      </c>
      <c r="G35" t="s">
        <v>33</v>
      </c>
    </row>
    <row r="36" spans="1:7" x14ac:dyDescent="0.35">
      <c r="A36" s="3">
        <v>44255</v>
      </c>
      <c r="B36" s="2">
        <v>259</v>
      </c>
      <c r="C36" s="2">
        <f t="shared" si="0"/>
        <v>360.35180253520537</v>
      </c>
      <c r="F36" s="3">
        <v>44012</v>
      </c>
      <c r="G36" s="5">
        <f t="shared" ref="G36:G39" si="1">SUM(C28:C31)</f>
        <v>5679.1347719257228</v>
      </c>
    </row>
    <row r="37" spans="1:7" x14ac:dyDescent="0.35">
      <c r="A37" s="3">
        <v>44286</v>
      </c>
      <c r="B37" s="2">
        <v>353</v>
      </c>
      <c r="C37" s="2">
        <f t="shared" si="0"/>
        <v>289.40554076056162</v>
      </c>
      <c r="F37" s="3">
        <v>44043</v>
      </c>
      <c r="G37" s="5">
        <f t="shared" si="1"/>
        <v>4023.5404315777168</v>
      </c>
    </row>
    <row r="38" spans="1:7" x14ac:dyDescent="0.35">
      <c r="A38" s="3">
        <v>44316</v>
      </c>
      <c r="B38" s="2">
        <v>341</v>
      </c>
      <c r="C38" s="2">
        <f t="shared" si="0"/>
        <v>333.92166222816849</v>
      </c>
      <c r="F38" s="3">
        <v>44074</v>
      </c>
      <c r="G38" s="5">
        <f t="shared" si="1"/>
        <v>2476.162129473315</v>
      </c>
    </row>
    <row r="39" spans="1:7" x14ac:dyDescent="0.35">
      <c r="A39" s="3">
        <v>44347</v>
      </c>
      <c r="B39" s="2">
        <v>346</v>
      </c>
      <c r="C39" s="2">
        <f t="shared" si="0"/>
        <v>338.87649866845055</v>
      </c>
      <c r="F39" s="3">
        <v>44104</v>
      </c>
      <c r="G39" s="5">
        <f t="shared" si="1"/>
        <v>1997.2486388419943</v>
      </c>
    </row>
    <row r="40" spans="1:7" x14ac:dyDescent="0.35">
      <c r="A40" s="3">
        <v>44377</v>
      </c>
      <c r="B40" s="2">
        <v>316</v>
      </c>
      <c r="C40" s="2">
        <f t="shared" ref="C40:C42" si="2">($F$1*B39)+((1-$F$1)*C39)</f>
        <v>343.86294960053516</v>
      </c>
      <c r="F40" s="3">
        <v>44135</v>
      </c>
      <c r="G40" s="5">
        <f t="shared" ref="G40:G45" si="3">SUM(C32:C35)</f>
        <v>1829.0745916525982</v>
      </c>
    </row>
    <row r="41" spans="1:7" x14ac:dyDescent="0.35">
      <c r="A41" s="3">
        <v>44408</v>
      </c>
      <c r="B41" s="2">
        <v>265</v>
      </c>
      <c r="C41" s="2">
        <f t="shared" si="2"/>
        <v>324.35888488016053</v>
      </c>
      <c r="F41" s="3">
        <v>44165</v>
      </c>
      <c r="G41" s="5">
        <f t="shared" si="3"/>
        <v>1682.7223774957793</v>
      </c>
    </row>
    <row r="42" spans="1:7" x14ac:dyDescent="0.35">
      <c r="A42" s="3">
        <v>44439</v>
      </c>
      <c r="B42" s="2">
        <v>352</v>
      </c>
      <c r="C42" s="2">
        <f t="shared" si="2"/>
        <v>282.80766546404817</v>
      </c>
      <c r="F42" s="3">
        <v>44196</v>
      </c>
      <c r="G42" s="5">
        <f t="shared" si="3"/>
        <v>1529.6167132487335</v>
      </c>
    </row>
    <row r="43" spans="1:7" x14ac:dyDescent="0.35">
      <c r="A43" s="3">
        <v>44469</v>
      </c>
      <c r="B43" s="2">
        <v>358</v>
      </c>
      <c r="C43" s="2">
        <f t="shared" ref="C43:C44" si="4">($F$1*B42)+((1-$F$1)*C42)</f>
        <v>331.24229963921442</v>
      </c>
      <c r="F43" s="3">
        <v>44227</v>
      </c>
      <c r="G43" s="5">
        <f t="shared" si="3"/>
        <v>1403.18501397462</v>
      </c>
    </row>
    <row r="44" spans="1:7" x14ac:dyDescent="0.35">
      <c r="A44" s="3">
        <v>44500</v>
      </c>
      <c r="B44" s="2">
        <v>274</v>
      </c>
      <c r="C44" s="2">
        <f t="shared" si="4"/>
        <v>349.97268989176433</v>
      </c>
      <c r="F44" s="3">
        <v>44255</v>
      </c>
      <c r="G44" s="5">
        <f t="shared" si="3"/>
        <v>1322.555504192386</v>
      </c>
    </row>
    <row r="45" spans="1:7" x14ac:dyDescent="0.35">
      <c r="A45" s="3">
        <v>44530</v>
      </c>
      <c r="B45" s="2">
        <v>375</v>
      </c>
      <c r="C45" s="2">
        <f t="shared" ref="C45:C46" si="5">($F$1*B44)+((1-$F$1)*C44)</f>
        <v>296.79180696752928</v>
      </c>
      <c r="F45" s="3">
        <v>44286</v>
      </c>
      <c r="G45" s="5">
        <f t="shared" si="3"/>
        <v>1306.0666512577156</v>
      </c>
    </row>
    <row r="46" spans="1:7" x14ac:dyDescent="0.35">
      <c r="A46" s="3">
        <v>44561</v>
      </c>
      <c r="B46" s="2">
        <v>397</v>
      </c>
      <c r="C46" s="2">
        <f t="shared" si="5"/>
        <v>351.5375420902588</v>
      </c>
      <c r="F46" s="3">
        <v>44316</v>
      </c>
      <c r="G46" s="5">
        <f t="shared" ref="G46:G47" si="6">SUM(C38:C41)</f>
        <v>1341.0199953773147</v>
      </c>
    </row>
    <row r="47" spans="1:7" x14ac:dyDescent="0.35">
      <c r="A47" s="3">
        <v>44592</v>
      </c>
      <c r="B47" s="2">
        <v>268</v>
      </c>
      <c r="C47" s="2">
        <f t="shared" ref="C47:C48" si="7">($F$1*B46)+((1-$F$1)*C46)</f>
        <v>383.36126262707762</v>
      </c>
      <c r="F47" s="3">
        <v>44347</v>
      </c>
      <c r="G47" s="5">
        <f t="shared" si="6"/>
        <v>1289.9059986131945</v>
      </c>
    </row>
    <row r="48" spans="1:7" x14ac:dyDescent="0.35">
      <c r="A48" s="3">
        <v>44620</v>
      </c>
      <c r="B48" s="2">
        <v>220</v>
      </c>
      <c r="C48" s="2">
        <f t="shared" si="7"/>
        <v>302.60837878812333</v>
      </c>
      <c r="F48" s="3">
        <v>44377</v>
      </c>
      <c r="G48" s="5">
        <f t="shared" ref="G48:G62" si="8">SUM(C40:C43)</f>
        <v>1282.2717995839582</v>
      </c>
    </row>
    <row r="49" spans="1:7" x14ac:dyDescent="0.35">
      <c r="A49" s="3">
        <v>44651</v>
      </c>
      <c r="B49" s="2">
        <v>291</v>
      </c>
      <c r="C49" s="2">
        <f t="shared" ref="C49:C50" si="9">($F$1*B48)+((1-$F$1)*C48)</f>
        <v>244.78251363643702</v>
      </c>
      <c r="F49" s="3">
        <v>44408</v>
      </c>
      <c r="G49" s="5">
        <f t="shared" si="8"/>
        <v>1288.3815398751874</v>
      </c>
    </row>
    <row r="50" spans="1:7" x14ac:dyDescent="0.35">
      <c r="A50" s="3">
        <v>44681</v>
      </c>
      <c r="B50" s="2">
        <v>259</v>
      </c>
      <c r="C50" s="2">
        <f t="shared" si="9"/>
        <v>277.1347540909311</v>
      </c>
      <c r="F50" s="3">
        <v>44439</v>
      </c>
      <c r="G50" s="5">
        <f t="shared" si="8"/>
        <v>1260.8144619625562</v>
      </c>
    </row>
    <row r="51" spans="1:7" x14ac:dyDescent="0.35">
      <c r="A51" s="3">
        <v>44712</v>
      </c>
      <c r="B51" s="2">
        <v>308</v>
      </c>
      <c r="C51" s="2">
        <f t="shared" ref="C51:C76" si="10">($F$1*B50)+((1-$F$1)*C50)</f>
        <v>264.44042622727932</v>
      </c>
      <c r="F51" s="3">
        <v>44469</v>
      </c>
      <c r="G51" s="5">
        <f t="shared" si="8"/>
        <v>1329.5443385887668</v>
      </c>
    </row>
    <row r="52" spans="1:7" x14ac:dyDescent="0.35">
      <c r="A52" s="3">
        <v>44742</v>
      </c>
      <c r="B52" s="2">
        <v>397</v>
      </c>
      <c r="C52" s="2">
        <f t="shared" si="10"/>
        <v>294.93212786818378</v>
      </c>
      <c r="F52" s="3">
        <v>44500</v>
      </c>
      <c r="G52" s="5">
        <f t="shared" si="8"/>
        <v>1381.6633015766299</v>
      </c>
    </row>
    <row r="53" spans="1:7" x14ac:dyDescent="0.35">
      <c r="A53" s="3">
        <v>44773</v>
      </c>
      <c r="B53" s="2">
        <v>249</v>
      </c>
      <c r="C53" s="2">
        <f t="shared" si="10"/>
        <v>366.37963836045515</v>
      </c>
      <c r="F53" s="3">
        <v>44530</v>
      </c>
      <c r="G53" s="5">
        <f t="shared" si="8"/>
        <v>1334.2989904729889</v>
      </c>
    </row>
    <row r="54" spans="1:7" x14ac:dyDescent="0.35">
      <c r="A54" s="3">
        <v>44804</v>
      </c>
      <c r="B54" s="2">
        <v>255</v>
      </c>
      <c r="C54" s="2">
        <f t="shared" si="10"/>
        <v>284.21389150813656</v>
      </c>
      <c r="F54" s="3">
        <v>44561</v>
      </c>
      <c r="G54" s="5">
        <f t="shared" si="8"/>
        <v>1282.2896971418966</v>
      </c>
    </row>
    <row r="55" spans="1:7" x14ac:dyDescent="0.35">
      <c r="A55" s="3">
        <v>44834</v>
      </c>
      <c r="B55" s="2">
        <v>249</v>
      </c>
      <c r="C55" s="2">
        <f t="shared" si="10"/>
        <v>263.76416745244097</v>
      </c>
      <c r="F55" s="3">
        <v>44592</v>
      </c>
      <c r="G55" s="5">
        <f t="shared" si="8"/>
        <v>1207.886909142569</v>
      </c>
    </row>
    <row r="56" spans="1:7" x14ac:dyDescent="0.35">
      <c r="A56" s="3">
        <v>44865</v>
      </c>
      <c r="B56" s="2">
        <v>252</v>
      </c>
      <c r="C56" s="2">
        <f t="shared" si="10"/>
        <v>253.4292502357323</v>
      </c>
      <c r="F56" s="3">
        <v>44620</v>
      </c>
      <c r="G56" s="5">
        <f t="shared" si="8"/>
        <v>1088.9660727427708</v>
      </c>
    </row>
    <row r="57" spans="1:7" x14ac:dyDescent="0.35">
      <c r="A57" s="3">
        <v>44895</v>
      </c>
      <c r="B57" s="2">
        <v>225</v>
      </c>
      <c r="C57" s="2">
        <f t="shared" si="10"/>
        <v>252.42877507071967</v>
      </c>
      <c r="F57" s="3">
        <v>44651</v>
      </c>
      <c r="G57" s="5">
        <f t="shared" si="8"/>
        <v>1081.2898218228311</v>
      </c>
    </row>
    <row r="58" spans="1:7" x14ac:dyDescent="0.35">
      <c r="A58" s="3">
        <v>44926</v>
      </c>
      <c r="B58" s="2">
        <v>263</v>
      </c>
      <c r="C58" s="2">
        <f t="shared" ref="C58:C62" si="11">($F$1*B57)+((1-$F$1)*C57)</f>
        <v>233.2286325212159</v>
      </c>
      <c r="F58" s="3">
        <v>44681</v>
      </c>
      <c r="G58" s="5">
        <f t="shared" si="8"/>
        <v>1202.8869465468492</v>
      </c>
    </row>
    <row r="59" spans="1:7" x14ac:dyDescent="0.35">
      <c r="A59" s="3">
        <v>44957</v>
      </c>
      <c r="B59" s="2">
        <v>234</v>
      </c>
      <c r="C59" s="2">
        <f t="shared" si="10"/>
        <v>254.06858975636476</v>
      </c>
      <c r="F59" s="3">
        <v>44712</v>
      </c>
      <c r="G59" s="5">
        <f t="shared" si="8"/>
        <v>1209.9660839640549</v>
      </c>
    </row>
    <row r="60" spans="1:7" x14ac:dyDescent="0.35">
      <c r="A60" s="3">
        <v>44985</v>
      </c>
      <c r="B60" s="2">
        <v>205</v>
      </c>
      <c r="C60" s="2">
        <f t="shared" si="11"/>
        <v>240.02057692690943</v>
      </c>
      <c r="F60" s="3">
        <v>44742</v>
      </c>
      <c r="G60" s="5">
        <f t="shared" si="8"/>
        <v>1209.2898251892163</v>
      </c>
    </row>
    <row r="61" spans="1:7" x14ac:dyDescent="0.35">
      <c r="A61" s="3">
        <v>45016</v>
      </c>
      <c r="B61" s="2">
        <v>258</v>
      </c>
      <c r="C61" s="2">
        <f t="shared" si="10"/>
        <v>215.50617307807283</v>
      </c>
      <c r="F61" s="3">
        <v>44773</v>
      </c>
      <c r="G61" s="5">
        <f t="shared" si="8"/>
        <v>1167.786947556765</v>
      </c>
    </row>
    <row r="62" spans="1:7" x14ac:dyDescent="0.35">
      <c r="A62" s="3">
        <v>45046</v>
      </c>
      <c r="B62" s="2">
        <v>206</v>
      </c>
      <c r="C62" s="2">
        <f t="shared" si="11"/>
        <v>245.25185192342184</v>
      </c>
      <c r="F62" s="3">
        <v>44804</v>
      </c>
      <c r="G62" s="5">
        <f t="shared" si="8"/>
        <v>1053.8360842670295</v>
      </c>
    </row>
    <row r="63" spans="1:7" x14ac:dyDescent="0.35">
      <c r="A63" s="3">
        <v>45077</v>
      </c>
      <c r="B63" s="2">
        <v>254</v>
      </c>
      <c r="C63" s="2">
        <f t="shared" si="10"/>
        <v>217.77555557702655</v>
      </c>
      <c r="F63" s="3">
        <v>44834</v>
      </c>
      <c r="G63" s="5">
        <f t="shared" ref="G63:G66" si="12">SUM(C55:C58)</f>
        <v>1002.8508252801088</v>
      </c>
    </row>
    <row r="64" spans="1:7" x14ac:dyDescent="0.35">
      <c r="A64" s="3">
        <v>45107</v>
      </c>
      <c r="B64" s="2">
        <v>359</v>
      </c>
      <c r="C64" s="2">
        <f t="shared" si="10"/>
        <v>243.13266667310796</v>
      </c>
      <c r="F64" s="3">
        <v>44865</v>
      </c>
      <c r="G64" s="5">
        <f t="shared" si="12"/>
        <v>993.15524758403262</v>
      </c>
    </row>
    <row r="65" spans="1:7" x14ac:dyDescent="0.35">
      <c r="A65" s="3">
        <v>45138</v>
      </c>
      <c r="B65" s="2">
        <v>339</v>
      </c>
      <c r="C65" s="2">
        <f t="shared" si="10"/>
        <v>324.23980000193239</v>
      </c>
      <c r="F65" s="3">
        <v>44895</v>
      </c>
      <c r="G65" s="5">
        <f t="shared" si="12"/>
        <v>979.7465742752097</v>
      </c>
    </row>
    <row r="66" spans="1:7" x14ac:dyDescent="0.35">
      <c r="A66" s="3">
        <v>45169</v>
      </c>
      <c r="B66" s="2">
        <v>493</v>
      </c>
      <c r="C66" s="2">
        <f t="shared" si="10"/>
        <v>334.57194000057973</v>
      </c>
      <c r="F66" s="3">
        <v>44926</v>
      </c>
      <c r="G66" s="5">
        <f t="shared" si="12"/>
        <v>942.82397228256286</v>
      </c>
    </row>
    <row r="67" spans="1:7" x14ac:dyDescent="0.35">
      <c r="A67" s="3">
        <v>45199</v>
      </c>
      <c r="B67" s="2">
        <v>331</v>
      </c>
      <c r="C67" s="2">
        <f t="shared" si="10"/>
        <v>445.4715820001739</v>
      </c>
      <c r="F67" s="3">
        <v>44957</v>
      </c>
      <c r="G67" s="5">
        <f t="shared" ref="G67:G68" si="13">SUM(C59:C62)</f>
        <v>954.84719168476886</v>
      </c>
    </row>
    <row r="68" spans="1:7" x14ac:dyDescent="0.35">
      <c r="A68" s="3">
        <v>45230</v>
      </c>
      <c r="B68" s="2">
        <v>314</v>
      </c>
      <c r="C68" s="2">
        <f t="shared" si="10"/>
        <v>365.34147460005215</v>
      </c>
      <c r="F68" s="3">
        <v>44985</v>
      </c>
      <c r="G68" s="5">
        <f t="shared" si="13"/>
        <v>918.55415750543068</v>
      </c>
    </row>
    <row r="69" spans="1:7" x14ac:dyDescent="0.35">
      <c r="A69" s="3">
        <v>45260</v>
      </c>
      <c r="B69" s="2">
        <v>353</v>
      </c>
      <c r="C69" s="2">
        <f t="shared" si="10"/>
        <v>329.40244238001566</v>
      </c>
      <c r="F69" s="3">
        <v>45016</v>
      </c>
      <c r="G69" s="5">
        <f t="shared" ref="G69:G82" si="14">SUM(C61:C64)</f>
        <v>921.6662472516291</v>
      </c>
    </row>
    <row r="70" spans="1:7" x14ac:dyDescent="0.35">
      <c r="A70" s="3">
        <v>45291</v>
      </c>
      <c r="B70" s="2">
        <v>346</v>
      </c>
      <c r="C70" s="2">
        <f t="shared" si="10"/>
        <v>345.92073271400471</v>
      </c>
      <c r="F70" s="3">
        <v>45046</v>
      </c>
      <c r="G70" s="5">
        <f t="shared" si="14"/>
        <v>1030.3998741754885</v>
      </c>
    </row>
    <row r="71" spans="1:7" x14ac:dyDescent="0.35">
      <c r="A71" s="3">
        <v>45322</v>
      </c>
      <c r="B71" s="2">
        <v>419</v>
      </c>
      <c r="C71" s="2">
        <f t="shared" si="10"/>
        <v>345.97621981420139</v>
      </c>
      <c r="F71" s="3">
        <v>45077</v>
      </c>
      <c r="G71" s="5">
        <f t="shared" si="14"/>
        <v>1119.7199622526466</v>
      </c>
    </row>
    <row r="72" spans="1:7" x14ac:dyDescent="0.35">
      <c r="A72" s="3">
        <v>45351</v>
      </c>
      <c r="B72" s="2">
        <v>293</v>
      </c>
      <c r="C72" s="2">
        <f t="shared" si="10"/>
        <v>397.09286594426038</v>
      </c>
      <c r="F72" s="3">
        <v>45107</v>
      </c>
      <c r="G72" s="5">
        <f t="shared" si="14"/>
        <v>1347.4159886757941</v>
      </c>
    </row>
    <row r="73" spans="1:7" x14ac:dyDescent="0.35">
      <c r="A73" s="3">
        <v>45382</v>
      </c>
      <c r="B73" s="2">
        <v>289</v>
      </c>
      <c r="C73" s="2">
        <f t="shared" si="10"/>
        <v>324.22785978327812</v>
      </c>
      <c r="F73" s="3">
        <v>45138</v>
      </c>
      <c r="G73" s="5">
        <f t="shared" si="14"/>
        <v>1469.6247966027381</v>
      </c>
    </row>
    <row r="74" spans="1:7" x14ac:dyDescent="0.35">
      <c r="A74" s="3">
        <v>45412</v>
      </c>
      <c r="B74">
        <v>324</v>
      </c>
      <c r="C74" s="2">
        <f t="shared" si="10"/>
        <v>299.56835793498345</v>
      </c>
      <c r="F74" s="3">
        <v>45169</v>
      </c>
      <c r="G74" s="5">
        <f t="shared" si="14"/>
        <v>1474.7874389808214</v>
      </c>
    </row>
    <row r="75" spans="1:7" x14ac:dyDescent="0.35">
      <c r="A75" s="3">
        <v>45443</v>
      </c>
      <c r="C75" s="2">
        <f t="shared" si="10"/>
        <v>316.67050738049505</v>
      </c>
      <c r="F75" s="3">
        <v>45199</v>
      </c>
      <c r="G75" s="5">
        <f t="shared" si="14"/>
        <v>1486.1362316942464</v>
      </c>
    </row>
    <row r="76" spans="1:7" x14ac:dyDescent="0.35">
      <c r="A76" s="3">
        <v>45473</v>
      </c>
      <c r="C76" s="2">
        <f t="shared" si="10"/>
        <v>95.001152214148533</v>
      </c>
      <c r="F76" s="3">
        <v>45230</v>
      </c>
      <c r="G76" s="5">
        <f t="shared" si="14"/>
        <v>1386.6408695082739</v>
      </c>
    </row>
    <row r="77" spans="1:7" x14ac:dyDescent="0.35">
      <c r="F77" s="3">
        <v>45260</v>
      </c>
      <c r="G77" s="5">
        <f t="shared" si="14"/>
        <v>1418.3922608524822</v>
      </c>
    </row>
    <row r="78" spans="1:7" x14ac:dyDescent="0.35">
      <c r="F78" s="3">
        <v>45291</v>
      </c>
      <c r="G78" s="5">
        <f t="shared" si="14"/>
        <v>1413.2176782557447</v>
      </c>
    </row>
    <row r="79" spans="1:7" x14ac:dyDescent="0.35">
      <c r="F79" s="3">
        <v>45322</v>
      </c>
      <c r="G79" s="5">
        <f t="shared" si="14"/>
        <v>1366.8653034767233</v>
      </c>
    </row>
    <row r="80" spans="1:7" x14ac:dyDescent="0.35">
      <c r="F80" s="3">
        <v>45351</v>
      </c>
      <c r="G80" s="5">
        <f t="shared" si="14"/>
        <v>1337.559591043017</v>
      </c>
    </row>
    <row r="81" spans="6:7" x14ac:dyDescent="0.35">
      <c r="F81" s="3">
        <v>45382</v>
      </c>
      <c r="G81" s="5">
        <f t="shared" si="14"/>
        <v>1035.4678773129051</v>
      </c>
    </row>
    <row r="82" spans="6:7" x14ac:dyDescent="0.35">
      <c r="F82" s="3">
        <v>45412</v>
      </c>
      <c r="G82" s="5">
        <f t="shared" si="14"/>
        <v>711.24001752962704</v>
      </c>
    </row>
  </sheetData>
  <pageMargins left="0.7" right="0.7" top="0.75" bottom="0.75" header="0.3" footer="0.3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G83"/>
  <sheetViews>
    <sheetView topLeftCell="A65" workbookViewId="0">
      <selection activeCell="G72" sqref="G72"/>
    </sheetView>
  </sheetViews>
  <sheetFormatPr defaultRowHeight="14.5" x14ac:dyDescent="0.35"/>
  <cols>
    <col min="1" max="1" width="10.54296875" bestFit="1" customWidth="1"/>
    <col min="2" max="2" width="7.81640625" bestFit="1" customWidth="1"/>
    <col min="3" max="3" width="8" bestFit="1" customWidth="1"/>
    <col min="5" max="5" width="8.90625" customWidth="1"/>
    <col min="6" max="6" width="10.54296875" bestFit="1" customWidth="1"/>
  </cols>
  <sheetData>
    <row r="1" spans="1:6" x14ac:dyDescent="0.35">
      <c r="A1" t="s">
        <v>3</v>
      </c>
      <c r="B1" s="1" t="s">
        <v>4</v>
      </c>
      <c r="C1" t="s">
        <v>29</v>
      </c>
      <c r="E1" t="s">
        <v>28</v>
      </c>
      <c r="F1">
        <v>0.7</v>
      </c>
    </row>
    <row r="2" spans="1:6" x14ac:dyDescent="0.35">
      <c r="A2" s="3">
        <v>43131</v>
      </c>
      <c r="B2" s="2">
        <v>823</v>
      </c>
      <c r="C2" s="2">
        <v>823</v>
      </c>
    </row>
    <row r="3" spans="1:6" x14ac:dyDescent="0.35">
      <c r="A3" s="3">
        <v>43159</v>
      </c>
      <c r="B3" s="2">
        <v>682</v>
      </c>
      <c r="C3" s="2">
        <f>($F$1*B2)+((1-$F$1)*C2)</f>
        <v>823</v>
      </c>
    </row>
    <row r="4" spans="1:6" x14ac:dyDescent="0.35">
      <c r="A4" s="3">
        <v>43190</v>
      </c>
      <c r="B4" s="2">
        <v>829</v>
      </c>
      <c r="C4" s="2">
        <f t="shared" ref="C4:C42" si="0">($F$1*B3)+((1-$F$1)*C3)</f>
        <v>724.3</v>
      </c>
    </row>
    <row r="5" spans="1:6" x14ac:dyDescent="0.35">
      <c r="A5" s="3">
        <v>43220</v>
      </c>
      <c r="B5" s="2">
        <v>800</v>
      </c>
      <c r="C5" s="2">
        <f t="shared" si="0"/>
        <v>797.58999999999992</v>
      </c>
    </row>
    <row r="6" spans="1:6" x14ac:dyDescent="0.35">
      <c r="A6" s="3">
        <v>43251</v>
      </c>
      <c r="B6" s="2">
        <v>753</v>
      </c>
      <c r="C6" s="2">
        <f t="shared" si="0"/>
        <v>799.27700000000004</v>
      </c>
    </row>
    <row r="7" spans="1:6" x14ac:dyDescent="0.35">
      <c r="A7" s="3">
        <v>43281</v>
      </c>
      <c r="B7" s="2">
        <v>687</v>
      </c>
      <c r="C7" s="2">
        <f t="shared" si="0"/>
        <v>766.88310000000001</v>
      </c>
    </row>
    <row r="8" spans="1:6" x14ac:dyDescent="0.35">
      <c r="A8" s="3">
        <v>43312</v>
      </c>
      <c r="B8" s="2">
        <v>1253</v>
      </c>
      <c r="C8" s="2">
        <f t="shared" si="0"/>
        <v>710.96492999999998</v>
      </c>
    </row>
    <row r="9" spans="1:6" x14ac:dyDescent="0.35">
      <c r="A9" s="3">
        <v>43343</v>
      </c>
      <c r="B9" s="2">
        <v>1344</v>
      </c>
      <c r="C9" s="2">
        <f t="shared" si="0"/>
        <v>1090.3894789999999</v>
      </c>
    </row>
    <row r="10" spans="1:6" x14ac:dyDescent="0.35">
      <c r="A10" s="3">
        <v>43373</v>
      </c>
      <c r="B10" s="2">
        <v>1402</v>
      </c>
      <c r="C10" s="2">
        <f t="shared" si="0"/>
        <v>1267.9168436999998</v>
      </c>
    </row>
    <row r="11" spans="1:6" x14ac:dyDescent="0.35">
      <c r="A11" s="3">
        <v>43404</v>
      </c>
      <c r="B11" s="2">
        <v>1114</v>
      </c>
      <c r="C11" s="2">
        <f t="shared" si="0"/>
        <v>1361.77505311</v>
      </c>
    </row>
    <row r="12" spans="1:6" x14ac:dyDescent="0.35">
      <c r="A12" s="3">
        <v>43434</v>
      </c>
      <c r="B12" s="2">
        <v>933</v>
      </c>
      <c r="C12" s="2">
        <f t="shared" si="0"/>
        <v>1188.332515933</v>
      </c>
    </row>
    <row r="13" spans="1:6" x14ac:dyDescent="0.35">
      <c r="A13" s="3">
        <v>43465</v>
      </c>
      <c r="B13" s="2">
        <v>868</v>
      </c>
      <c r="C13" s="2">
        <f t="shared" si="0"/>
        <v>1009.5997547799</v>
      </c>
    </row>
    <row r="14" spans="1:6" x14ac:dyDescent="0.35">
      <c r="A14" s="3">
        <v>43496</v>
      </c>
      <c r="B14" s="2">
        <v>1089</v>
      </c>
      <c r="C14" s="2">
        <f t="shared" si="0"/>
        <v>910.47992643396992</v>
      </c>
    </row>
    <row r="15" spans="1:6" x14ac:dyDescent="0.35">
      <c r="A15" s="3">
        <v>43524</v>
      </c>
      <c r="B15" s="2">
        <v>965</v>
      </c>
      <c r="C15" s="2">
        <f t="shared" si="0"/>
        <v>1035.4439779301911</v>
      </c>
    </row>
    <row r="16" spans="1:6" x14ac:dyDescent="0.35">
      <c r="A16" s="3">
        <v>43555</v>
      </c>
      <c r="B16" s="2">
        <v>1107</v>
      </c>
      <c r="C16" s="2">
        <f t="shared" si="0"/>
        <v>986.13319337905739</v>
      </c>
    </row>
    <row r="17" spans="1:3" x14ac:dyDescent="0.35">
      <c r="A17" s="3">
        <v>43585</v>
      </c>
      <c r="B17" s="2">
        <v>1240</v>
      </c>
      <c r="C17" s="2">
        <f t="shared" si="0"/>
        <v>1070.7399580137171</v>
      </c>
    </row>
    <row r="18" spans="1:3" x14ac:dyDescent="0.35">
      <c r="A18" s="3">
        <v>43616</v>
      </c>
      <c r="B18" s="2">
        <v>1452</v>
      </c>
      <c r="C18" s="2">
        <f t="shared" si="0"/>
        <v>1189.2219874041152</v>
      </c>
    </row>
    <row r="19" spans="1:3" x14ac:dyDescent="0.35">
      <c r="A19" s="3">
        <v>43646</v>
      </c>
      <c r="B19" s="2">
        <v>1537</v>
      </c>
      <c r="C19" s="2">
        <f t="shared" si="0"/>
        <v>1373.1665962212346</v>
      </c>
    </row>
    <row r="20" spans="1:3" x14ac:dyDescent="0.35">
      <c r="A20" s="3">
        <v>43677</v>
      </c>
      <c r="B20" s="2">
        <v>2305</v>
      </c>
      <c r="C20" s="2">
        <f t="shared" si="0"/>
        <v>1487.8499788663703</v>
      </c>
    </row>
    <row r="21" spans="1:3" x14ac:dyDescent="0.35">
      <c r="A21" s="3">
        <v>43708</v>
      </c>
      <c r="B21" s="2">
        <v>2618</v>
      </c>
      <c r="C21" s="2">
        <f t="shared" si="0"/>
        <v>2059.8549936599111</v>
      </c>
    </row>
    <row r="22" spans="1:3" x14ac:dyDescent="0.35">
      <c r="A22" s="3">
        <v>43738</v>
      </c>
      <c r="B22" s="2">
        <v>3081</v>
      </c>
      <c r="C22" s="2">
        <f t="shared" si="0"/>
        <v>2450.5564980979734</v>
      </c>
    </row>
    <row r="23" spans="1:3" x14ac:dyDescent="0.35">
      <c r="A23" s="3">
        <v>43769</v>
      </c>
      <c r="B23" s="2">
        <v>3064</v>
      </c>
      <c r="C23" s="2">
        <f t="shared" si="0"/>
        <v>2891.8669494293918</v>
      </c>
    </row>
    <row r="24" spans="1:3" x14ac:dyDescent="0.35">
      <c r="A24" s="3">
        <v>43799</v>
      </c>
      <c r="B24" s="2">
        <v>2932</v>
      </c>
      <c r="C24" s="2">
        <f t="shared" si="0"/>
        <v>3012.3600848288174</v>
      </c>
    </row>
    <row r="25" spans="1:3" x14ac:dyDescent="0.35">
      <c r="A25" s="3">
        <v>43830</v>
      </c>
      <c r="B25" s="2">
        <v>3563</v>
      </c>
      <c r="C25" s="2">
        <f t="shared" si="0"/>
        <v>2956.1080254486455</v>
      </c>
    </row>
    <row r="26" spans="1:3" x14ac:dyDescent="0.35">
      <c r="A26" s="3">
        <v>43861</v>
      </c>
      <c r="B26" s="2">
        <v>3483</v>
      </c>
      <c r="C26" s="2">
        <f t="shared" si="0"/>
        <v>3380.9324076345938</v>
      </c>
    </row>
    <row r="27" spans="1:3" x14ac:dyDescent="0.35">
      <c r="A27" s="3">
        <v>43890</v>
      </c>
      <c r="B27" s="2">
        <v>1662</v>
      </c>
      <c r="C27" s="2">
        <f t="shared" si="0"/>
        <v>3452.3797222903781</v>
      </c>
    </row>
    <row r="28" spans="1:3" x14ac:dyDescent="0.35">
      <c r="A28" s="3">
        <v>43921</v>
      </c>
      <c r="B28" s="2">
        <v>117</v>
      </c>
      <c r="C28" s="2">
        <f t="shared" si="0"/>
        <v>2199.1139166871135</v>
      </c>
    </row>
    <row r="29" spans="1:3" x14ac:dyDescent="0.35">
      <c r="A29" s="3">
        <v>43951</v>
      </c>
      <c r="B29" s="2">
        <v>626</v>
      </c>
      <c r="C29" s="2">
        <f t="shared" si="0"/>
        <v>741.63417500613411</v>
      </c>
    </row>
    <row r="30" spans="1:3" x14ac:dyDescent="0.35">
      <c r="A30" s="3">
        <v>43982</v>
      </c>
      <c r="B30" s="2">
        <v>2199</v>
      </c>
      <c r="C30" s="2">
        <f t="shared" si="0"/>
        <v>660.69025250184029</v>
      </c>
    </row>
    <row r="31" spans="1:3" x14ac:dyDescent="0.35">
      <c r="A31" s="3">
        <v>44012</v>
      </c>
      <c r="B31" s="2">
        <v>2147</v>
      </c>
      <c r="C31" s="2">
        <f t="shared" si="0"/>
        <v>1737.5070757505521</v>
      </c>
    </row>
    <row r="32" spans="1:3" x14ac:dyDescent="0.35">
      <c r="A32" s="3">
        <v>44043</v>
      </c>
      <c r="B32" s="5">
        <v>667</v>
      </c>
      <c r="C32" s="2">
        <f t="shared" si="0"/>
        <v>2024.1521227251656</v>
      </c>
    </row>
    <row r="33" spans="1:7" x14ac:dyDescent="0.35">
      <c r="A33" s="3">
        <v>44074</v>
      </c>
      <c r="B33" s="5">
        <v>664</v>
      </c>
      <c r="C33" s="2">
        <f t="shared" si="0"/>
        <v>1074.1456368175498</v>
      </c>
    </row>
    <row r="34" spans="1:7" x14ac:dyDescent="0.35">
      <c r="A34" s="3">
        <v>44104</v>
      </c>
      <c r="B34" s="5">
        <v>650</v>
      </c>
      <c r="C34" s="2">
        <f t="shared" si="0"/>
        <v>787.04369104526495</v>
      </c>
    </row>
    <row r="35" spans="1:7" x14ac:dyDescent="0.35">
      <c r="A35" s="3">
        <v>44135</v>
      </c>
      <c r="B35" s="5">
        <v>723</v>
      </c>
      <c r="C35" s="2">
        <f t="shared" si="0"/>
        <v>691.11310731357946</v>
      </c>
    </row>
    <row r="36" spans="1:7" x14ac:dyDescent="0.35">
      <c r="A36" s="3">
        <v>44165</v>
      </c>
      <c r="B36" s="5">
        <v>1072</v>
      </c>
      <c r="C36" s="2">
        <f t="shared" si="0"/>
        <v>713.4339321940738</v>
      </c>
      <c r="F36" t="s">
        <v>32</v>
      </c>
      <c r="G36" t="s">
        <v>33</v>
      </c>
    </row>
    <row r="37" spans="1:7" x14ac:dyDescent="0.35">
      <c r="A37" s="3">
        <v>44196</v>
      </c>
      <c r="B37" s="5">
        <v>1016</v>
      </c>
      <c r="C37" s="2">
        <f t="shared" si="0"/>
        <v>964.43017965822219</v>
      </c>
      <c r="F37" s="3">
        <v>44012</v>
      </c>
      <c r="G37" s="5">
        <f t="shared" ref="G37:G40" si="1">SUM(C31:C34)</f>
        <v>5622.8485263385319</v>
      </c>
    </row>
    <row r="38" spans="1:7" x14ac:dyDescent="0.35">
      <c r="A38" s="3">
        <v>44227</v>
      </c>
      <c r="B38" s="5">
        <v>743</v>
      </c>
      <c r="C38" s="2">
        <f t="shared" si="0"/>
        <v>1000.5290538974666</v>
      </c>
      <c r="F38" s="3">
        <v>44043</v>
      </c>
      <c r="G38" s="5">
        <f t="shared" si="1"/>
        <v>4576.4545579015603</v>
      </c>
    </row>
    <row r="39" spans="1:7" x14ac:dyDescent="0.35">
      <c r="A39" s="3">
        <v>44255</v>
      </c>
      <c r="B39" s="5">
        <v>674</v>
      </c>
      <c r="C39" s="2">
        <f t="shared" si="0"/>
        <v>820.25871616924007</v>
      </c>
      <c r="F39" s="3">
        <v>44074</v>
      </c>
      <c r="G39" s="5">
        <f>SUM(C33:C36)</f>
        <v>3265.7363673704681</v>
      </c>
    </row>
    <row r="40" spans="1:7" x14ac:dyDescent="0.35">
      <c r="A40" s="3">
        <v>44286</v>
      </c>
      <c r="B40" s="5">
        <v>793</v>
      </c>
      <c r="C40" s="2">
        <f t="shared" si="0"/>
        <v>717.87761485077203</v>
      </c>
      <c r="F40" s="3">
        <v>44104</v>
      </c>
      <c r="G40" s="5">
        <f t="shared" si="1"/>
        <v>3156.0209102111403</v>
      </c>
    </row>
    <row r="41" spans="1:7" x14ac:dyDescent="0.35">
      <c r="A41" s="3">
        <v>44316</v>
      </c>
      <c r="B41" s="5">
        <v>705</v>
      </c>
      <c r="C41" s="2">
        <f t="shared" si="0"/>
        <v>770.46328445523159</v>
      </c>
      <c r="F41" s="3">
        <v>44135</v>
      </c>
      <c r="G41" s="5">
        <f t="shared" ref="G41:G46" si="2">SUM(C35:C38)</f>
        <v>3369.5062730633417</v>
      </c>
    </row>
    <row r="42" spans="1:7" x14ac:dyDescent="0.35">
      <c r="A42" s="3">
        <v>44347</v>
      </c>
      <c r="B42" s="5">
        <v>715</v>
      </c>
      <c r="C42" s="2">
        <f t="shared" si="0"/>
        <v>724.63898533656948</v>
      </c>
      <c r="F42" s="3">
        <v>44165</v>
      </c>
      <c r="G42" s="5">
        <f t="shared" si="2"/>
        <v>3498.6518819190023</v>
      </c>
    </row>
    <row r="43" spans="1:7" x14ac:dyDescent="0.35">
      <c r="A43" s="3">
        <v>44377</v>
      </c>
      <c r="B43" s="5">
        <v>612</v>
      </c>
      <c r="C43" s="2">
        <f t="shared" ref="C43:C45" si="3">($F$1*B42)+((1-$F$1)*C42)</f>
        <v>717.89169560097082</v>
      </c>
      <c r="F43" s="3">
        <v>44196</v>
      </c>
      <c r="G43" s="5">
        <f t="shared" si="2"/>
        <v>3503.0955645757012</v>
      </c>
    </row>
    <row r="44" spans="1:7" x14ac:dyDescent="0.35">
      <c r="A44" s="3">
        <v>44408</v>
      </c>
      <c r="B44" s="5">
        <v>598</v>
      </c>
      <c r="C44" s="2">
        <f t="shared" si="3"/>
        <v>643.76750868029126</v>
      </c>
      <c r="F44" s="3">
        <v>44227</v>
      </c>
      <c r="G44" s="5">
        <f t="shared" si="2"/>
        <v>3309.1286693727106</v>
      </c>
    </row>
    <row r="45" spans="1:7" x14ac:dyDescent="0.35">
      <c r="A45" s="3">
        <v>44439</v>
      </c>
      <c r="B45" s="5">
        <v>518</v>
      </c>
      <c r="C45" s="2">
        <f t="shared" si="3"/>
        <v>611.73025260408735</v>
      </c>
      <c r="F45" s="3">
        <v>44255</v>
      </c>
      <c r="G45" s="5">
        <f t="shared" si="2"/>
        <v>3033.2386008118133</v>
      </c>
    </row>
    <row r="46" spans="1:7" x14ac:dyDescent="0.35">
      <c r="A46" s="3">
        <v>44469</v>
      </c>
      <c r="B46" s="5">
        <v>536</v>
      </c>
      <c r="C46" s="2">
        <f t="shared" ref="C46:C47" si="4">($F$1*B45)+((1-$F$1)*C45)</f>
        <v>546.11907578122623</v>
      </c>
      <c r="F46" s="3">
        <v>44286</v>
      </c>
      <c r="G46" s="5">
        <f t="shared" si="2"/>
        <v>2930.8715802435436</v>
      </c>
    </row>
    <row r="47" spans="1:7" x14ac:dyDescent="0.35">
      <c r="A47" s="3">
        <v>44500</v>
      </c>
      <c r="B47" s="5">
        <v>466</v>
      </c>
      <c r="C47" s="2">
        <f t="shared" si="4"/>
        <v>539.03572273436794</v>
      </c>
      <c r="F47" s="3">
        <v>44316</v>
      </c>
      <c r="G47" s="5">
        <f t="shared" ref="G47:G48" si="5">SUM(C41:C44)</f>
        <v>2856.7614740730633</v>
      </c>
    </row>
    <row r="48" spans="1:7" x14ac:dyDescent="0.35">
      <c r="A48" s="3">
        <v>44530</v>
      </c>
      <c r="B48" s="5">
        <v>430</v>
      </c>
      <c r="C48" s="2">
        <f t="shared" ref="C48:C49" si="6">($F$1*B47)+((1-$F$1)*C47)</f>
        <v>487.91071682031043</v>
      </c>
      <c r="F48" s="3">
        <v>44347</v>
      </c>
      <c r="G48" s="5">
        <f t="shared" si="5"/>
        <v>2698.0284422219192</v>
      </c>
    </row>
    <row r="49" spans="1:7" x14ac:dyDescent="0.35">
      <c r="A49" s="3">
        <v>44561</v>
      </c>
      <c r="B49" s="5">
        <v>339</v>
      </c>
      <c r="C49" s="2">
        <f t="shared" si="6"/>
        <v>447.37321504609315</v>
      </c>
      <c r="F49" s="3">
        <v>44377</v>
      </c>
      <c r="G49" s="5">
        <f t="shared" ref="G49:G50" si="7">SUM(C43:C46)</f>
        <v>2519.5085326665758</v>
      </c>
    </row>
    <row r="50" spans="1:7" x14ac:dyDescent="0.35">
      <c r="A50" s="3">
        <v>44592</v>
      </c>
      <c r="B50" s="5">
        <v>414</v>
      </c>
      <c r="C50" s="2">
        <f t="shared" ref="C50:C51" si="8">($F$1*B49)+((1-$F$1)*C49)</f>
        <v>371.51196451382793</v>
      </c>
      <c r="F50" s="3">
        <v>44408</v>
      </c>
      <c r="G50" s="5">
        <f t="shared" si="7"/>
        <v>2340.6525597999726</v>
      </c>
    </row>
    <row r="51" spans="1:7" x14ac:dyDescent="0.35">
      <c r="A51" s="3">
        <v>44620</v>
      </c>
      <c r="B51" s="5">
        <v>254</v>
      </c>
      <c r="C51" s="2">
        <f t="shared" si="8"/>
        <v>401.25358935414835</v>
      </c>
      <c r="F51" s="3">
        <v>44439</v>
      </c>
      <c r="G51" s="5">
        <f t="shared" ref="G51" si="9">SUM(C45:C48)</f>
        <v>2184.7957679399919</v>
      </c>
    </row>
    <row r="52" spans="1:7" x14ac:dyDescent="0.35">
      <c r="A52" s="3">
        <v>44651</v>
      </c>
      <c r="B52" s="5">
        <v>468</v>
      </c>
      <c r="C52" s="2">
        <f t="shared" ref="C52:C53" si="10">($F$1*B51)+((1-$F$1)*C51)</f>
        <v>298.17607680624451</v>
      </c>
      <c r="F52" s="3">
        <v>44469</v>
      </c>
      <c r="G52" s="5">
        <f t="shared" ref="G52:G53" si="11">SUM(C46:C49)</f>
        <v>2020.4387303819976</v>
      </c>
    </row>
    <row r="53" spans="1:7" x14ac:dyDescent="0.35">
      <c r="A53" s="3">
        <v>44681</v>
      </c>
      <c r="B53" s="5">
        <v>419</v>
      </c>
      <c r="C53" s="2">
        <f t="shared" si="10"/>
        <v>417.05282304187335</v>
      </c>
      <c r="F53" s="3">
        <v>44500</v>
      </c>
      <c r="G53" s="5">
        <f t="shared" si="11"/>
        <v>1845.8316191145996</v>
      </c>
    </row>
    <row r="54" spans="1:7" x14ac:dyDescent="0.35">
      <c r="A54" s="3">
        <v>44712</v>
      </c>
      <c r="B54" s="5">
        <v>426</v>
      </c>
      <c r="C54" s="2">
        <f t="shared" ref="C54:C79" si="12">($F$1*B53)+((1-$F$1)*C53)</f>
        <v>418.41584691256196</v>
      </c>
      <c r="F54" s="3">
        <v>44530</v>
      </c>
      <c r="G54" s="5">
        <f t="shared" ref="G54:G63" si="13">SUM(C48:C51)</f>
        <v>1708.0494857343799</v>
      </c>
    </row>
    <row r="55" spans="1:7" x14ac:dyDescent="0.35">
      <c r="A55" s="3">
        <v>44742</v>
      </c>
      <c r="B55" s="5">
        <v>541</v>
      </c>
      <c r="C55" s="2">
        <f t="shared" si="12"/>
        <v>423.72475407376862</v>
      </c>
      <c r="F55" s="3">
        <v>44561</v>
      </c>
      <c r="G55" s="5">
        <f t="shared" si="13"/>
        <v>1518.314845720314</v>
      </c>
    </row>
    <row r="56" spans="1:7" x14ac:dyDescent="0.35">
      <c r="A56" s="3">
        <v>44773</v>
      </c>
      <c r="B56" s="5">
        <v>366</v>
      </c>
      <c r="C56" s="2">
        <f t="shared" si="12"/>
        <v>505.81742622213062</v>
      </c>
      <c r="F56" s="3">
        <v>44592</v>
      </c>
      <c r="G56" s="5">
        <f t="shared" si="13"/>
        <v>1487.9944537160941</v>
      </c>
    </row>
    <row r="57" spans="1:7" x14ac:dyDescent="0.35">
      <c r="A57" s="3">
        <v>44804</v>
      </c>
      <c r="B57" s="5">
        <v>379</v>
      </c>
      <c r="C57" s="2">
        <f t="shared" si="12"/>
        <v>407.94522786663919</v>
      </c>
      <c r="F57" s="3">
        <v>44620</v>
      </c>
      <c r="G57" s="5">
        <f t="shared" si="13"/>
        <v>1534.898336114828</v>
      </c>
    </row>
    <row r="58" spans="1:7" x14ac:dyDescent="0.35">
      <c r="A58" s="3">
        <v>44834</v>
      </c>
      <c r="B58" s="5">
        <v>498</v>
      </c>
      <c r="C58" s="2">
        <f t="shared" si="12"/>
        <v>387.6835683599918</v>
      </c>
      <c r="F58" s="3">
        <v>44651</v>
      </c>
      <c r="G58" s="5">
        <f t="shared" si="13"/>
        <v>1557.3695008344484</v>
      </c>
    </row>
    <row r="59" spans="1:7" x14ac:dyDescent="0.35">
      <c r="A59" s="3">
        <v>44865</v>
      </c>
      <c r="B59" s="5">
        <v>494</v>
      </c>
      <c r="C59" s="2">
        <f t="shared" si="12"/>
        <v>464.90507050799749</v>
      </c>
      <c r="F59" s="3">
        <v>44681</v>
      </c>
      <c r="G59" s="5">
        <f t="shared" si="13"/>
        <v>1765.0108502503344</v>
      </c>
    </row>
    <row r="60" spans="1:7" x14ac:dyDescent="0.35">
      <c r="A60" s="3">
        <v>44895</v>
      </c>
      <c r="B60" s="5">
        <v>410</v>
      </c>
      <c r="C60" s="2">
        <f t="shared" si="12"/>
        <v>485.27152115239926</v>
      </c>
      <c r="F60" s="3">
        <v>44712</v>
      </c>
      <c r="G60" s="5">
        <f t="shared" si="13"/>
        <v>1755.9032550751006</v>
      </c>
    </row>
    <row r="61" spans="1:7" x14ac:dyDescent="0.35">
      <c r="A61" s="3">
        <v>44926</v>
      </c>
      <c r="B61" s="5">
        <v>518</v>
      </c>
      <c r="C61" s="2">
        <f t="shared" ref="C61" si="14">($F$1*B60)+((1-$F$1)*C60)</f>
        <v>432.5814563457198</v>
      </c>
      <c r="F61" s="3">
        <v>44742</v>
      </c>
      <c r="G61" s="5">
        <f t="shared" si="13"/>
        <v>1725.1709765225303</v>
      </c>
    </row>
    <row r="62" spans="1:7" x14ac:dyDescent="0.35">
      <c r="A62" s="3">
        <v>44957</v>
      </c>
      <c r="B62" s="5">
        <v>505</v>
      </c>
      <c r="C62" s="2">
        <f t="shared" si="12"/>
        <v>492.37443690371595</v>
      </c>
      <c r="F62" s="3">
        <v>44773</v>
      </c>
      <c r="G62" s="5">
        <f t="shared" si="13"/>
        <v>1766.3512929567592</v>
      </c>
    </row>
    <row r="63" spans="1:7" x14ac:dyDescent="0.35">
      <c r="A63" s="3">
        <v>44985</v>
      </c>
      <c r="B63" s="5">
        <v>463</v>
      </c>
      <c r="C63" s="2">
        <f t="shared" si="12"/>
        <v>501.21233107111482</v>
      </c>
      <c r="F63" s="3">
        <v>44804</v>
      </c>
      <c r="G63" s="5">
        <f t="shared" si="13"/>
        <v>1745.8053878870278</v>
      </c>
    </row>
    <row r="64" spans="1:7" x14ac:dyDescent="0.35">
      <c r="A64" s="3">
        <v>45016</v>
      </c>
      <c r="B64" s="5">
        <v>652</v>
      </c>
      <c r="C64" s="2">
        <f t="shared" si="12"/>
        <v>474.46369932133445</v>
      </c>
      <c r="F64" s="3">
        <v>44834</v>
      </c>
      <c r="G64" s="5">
        <f t="shared" ref="G64:G66" si="15">SUM(C58:C61)</f>
        <v>1770.4416163661083</v>
      </c>
    </row>
    <row r="65" spans="1:7" x14ac:dyDescent="0.35">
      <c r="A65" s="3">
        <v>45046</v>
      </c>
      <c r="B65" s="5">
        <v>569</v>
      </c>
      <c r="C65" s="2">
        <f t="shared" si="12"/>
        <v>598.73910979640027</v>
      </c>
      <c r="F65" s="3">
        <v>44865</v>
      </c>
      <c r="G65" s="5">
        <f t="shared" si="15"/>
        <v>1875.1324849098323</v>
      </c>
    </row>
    <row r="66" spans="1:7" x14ac:dyDescent="0.35">
      <c r="A66" s="3">
        <v>45077</v>
      </c>
      <c r="B66" s="5">
        <v>670</v>
      </c>
      <c r="C66" s="2">
        <f t="shared" ref="C66" si="16">($F$1*B65)+((1-$F$1)*C65)</f>
        <v>577.92173293892006</v>
      </c>
      <c r="F66" s="3">
        <v>44895</v>
      </c>
      <c r="G66" s="5">
        <f t="shared" si="15"/>
        <v>1911.4397454729501</v>
      </c>
    </row>
    <row r="67" spans="1:7" x14ac:dyDescent="0.35">
      <c r="A67" s="3">
        <v>45107</v>
      </c>
      <c r="B67" s="5">
        <v>591</v>
      </c>
      <c r="C67" s="2">
        <f t="shared" si="12"/>
        <v>642.37651988167602</v>
      </c>
      <c r="F67" s="3">
        <v>44926</v>
      </c>
      <c r="G67" s="5">
        <f t="shared" ref="G67:G69" si="17">SUM(C61:C64)</f>
        <v>1900.6319236418849</v>
      </c>
    </row>
    <row r="68" spans="1:7" x14ac:dyDescent="0.35">
      <c r="A68" s="3">
        <v>45138</v>
      </c>
      <c r="B68" s="5">
        <v>363</v>
      </c>
      <c r="C68" s="2">
        <f t="shared" si="12"/>
        <v>606.41295596450277</v>
      </c>
      <c r="F68" s="3">
        <v>44957</v>
      </c>
      <c r="G68" s="5">
        <f t="shared" si="17"/>
        <v>2066.7895770925652</v>
      </c>
    </row>
    <row r="69" spans="1:7" x14ac:dyDescent="0.35">
      <c r="A69" s="3">
        <v>45169</v>
      </c>
      <c r="B69" s="5">
        <v>208</v>
      </c>
      <c r="C69" s="2">
        <f t="shared" si="12"/>
        <v>436.02388678935085</v>
      </c>
      <c r="F69" s="3">
        <v>44985</v>
      </c>
      <c r="G69" s="5">
        <f t="shared" si="17"/>
        <v>2152.3368731277696</v>
      </c>
    </row>
    <row r="70" spans="1:7" x14ac:dyDescent="0.35">
      <c r="A70" s="3">
        <v>45199</v>
      </c>
      <c r="B70" s="5">
        <v>43</v>
      </c>
      <c r="C70" s="2">
        <f t="shared" si="12"/>
        <v>276.40716603680528</v>
      </c>
      <c r="F70" s="3">
        <v>45016</v>
      </c>
      <c r="G70" s="5">
        <f t="shared" ref="G70:G83" si="18">SUM(C64:C67)</f>
        <v>2293.5010619383306</v>
      </c>
    </row>
    <row r="71" spans="1:7" x14ac:dyDescent="0.35">
      <c r="A71" s="3">
        <v>45230</v>
      </c>
      <c r="B71" s="5">
        <v>37</v>
      </c>
      <c r="C71" s="2">
        <f t="shared" si="12"/>
        <v>113.02214981104159</v>
      </c>
      <c r="F71" s="3">
        <v>45046</v>
      </c>
      <c r="G71" s="5">
        <f t="shared" si="18"/>
        <v>2425.4503185814992</v>
      </c>
    </row>
    <row r="72" spans="1:7" x14ac:dyDescent="0.35">
      <c r="A72" s="3">
        <v>45260</v>
      </c>
      <c r="B72" s="5">
        <v>26</v>
      </c>
      <c r="C72" s="2">
        <f t="shared" si="12"/>
        <v>59.806644943312477</v>
      </c>
      <c r="F72" s="3">
        <v>45077</v>
      </c>
      <c r="G72" s="5">
        <f t="shared" si="18"/>
        <v>2262.7350955744496</v>
      </c>
    </row>
    <row r="73" spans="1:7" x14ac:dyDescent="0.35">
      <c r="A73" s="3">
        <v>45291</v>
      </c>
      <c r="B73" s="5">
        <v>17</v>
      </c>
      <c r="C73" s="2">
        <f t="shared" si="12"/>
        <v>36.14199348299374</v>
      </c>
      <c r="F73" s="3">
        <v>45107</v>
      </c>
      <c r="G73" s="5">
        <f t="shared" si="18"/>
        <v>1961.2205286723351</v>
      </c>
    </row>
    <row r="74" spans="1:7" x14ac:dyDescent="0.35">
      <c r="A74" s="3">
        <v>45322</v>
      </c>
      <c r="B74" s="5">
        <v>10</v>
      </c>
      <c r="C74" s="2">
        <f t="shared" si="12"/>
        <v>22.742598044898124</v>
      </c>
      <c r="F74" s="3">
        <v>45138</v>
      </c>
      <c r="G74" s="5">
        <f t="shared" si="18"/>
        <v>1431.8661586017004</v>
      </c>
    </row>
    <row r="75" spans="1:7" x14ac:dyDescent="0.35">
      <c r="A75" s="3">
        <v>45351</v>
      </c>
      <c r="B75" s="5">
        <v>0</v>
      </c>
      <c r="C75" s="2">
        <f>($F$1*B74)+((1-$F$1)*C74)</f>
        <v>13.822779413469437</v>
      </c>
      <c r="F75" s="3">
        <v>45169</v>
      </c>
      <c r="G75" s="5">
        <f t="shared" si="18"/>
        <v>885.25984758051015</v>
      </c>
    </row>
    <row r="76" spans="1:7" x14ac:dyDescent="0.35">
      <c r="A76" s="3">
        <v>45382</v>
      </c>
      <c r="B76" s="5">
        <v>0</v>
      </c>
      <c r="C76" s="2">
        <f t="shared" si="12"/>
        <v>4.146833824040832</v>
      </c>
      <c r="F76" s="3">
        <v>45199</v>
      </c>
      <c r="G76" s="5">
        <f t="shared" si="18"/>
        <v>485.37795427415301</v>
      </c>
    </row>
    <row r="77" spans="1:7" x14ac:dyDescent="0.35">
      <c r="A77" s="3">
        <v>45412</v>
      </c>
      <c r="C77" s="2">
        <f t="shared" si="12"/>
        <v>1.2440501472122498</v>
      </c>
      <c r="F77" s="3">
        <v>45230</v>
      </c>
      <c r="G77" s="5">
        <f t="shared" si="18"/>
        <v>231.71338628224595</v>
      </c>
    </row>
    <row r="78" spans="1:7" x14ac:dyDescent="0.35">
      <c r="A78" s="3">
        <v>45443</v>
      </c>
      <c r="C78" s="2">
        <f t="shared" si="12"/>
        <v>0.37321504416367501</v>
      </c>
      <c r="F78" s="3">
        <v>45260</v>
      </c>
      <c r="G78" s="5">
        <f t="shared" si="18"/>
        <v>132.5140158846738</v>
      </c>
    </row>
    <row r="79" spans="1:7" x14ac:dyDescent="0.35">
      <c r="A79" s="3">
        <v>45473</v>
      </c>
      <c r="C79" s="2">
        <f t="shared" si="12"/>
        <v>0.11196451324910252</v>
      </c>
      <c r="F79" s="3">
        <v>45291</v>
      </c>
      <c r="G79" s="5">
        <f t="shared" si="18"/>
        <v>76.85420476540213</v>
      </c>
    </row>
    <row r="80" spans="1:7" x14ac:dyDescent="0.35">
      <c r="F80" s="3">
        <v>45322</v>
      </c>
      <c r="G80" s="5">
        <f t="shared" si="18"/>
        <v>41.956261429620646</v>
      </c>
    </row>
    <row r="81" spans="6:7" x14ac:dyDescent="0.35">
      <c r="F81" s="3">
        <v>45351</v>
      </c>
      <c r="G81" s="5">
        <f t="shared" si="18"/>
        <v>19.586878428886195</v>
      </c>
    </row>
    <row r="82" spans="6:7" x14ac:dyDescent="0.35">
      <c r="F82" s="3">
        <v>45382</v>
      </c>
      <c r="G82" s="5">
        <f t="shared" si="18"/>
        <v>5.8760635286658598</v>
      </c>
    </row>
    <row r="83" spans="6:7" x14ac:dyDescent="0.35">
      <c r="F83" s="3">
        <v>45412</v>
      </c>
      <c r="G83" s="5">
        <f t="shared" si="18"/>
        <v>1.7292297046250273</v>
      </c>
    </row>
  </sheetData>
  <pageMargins left="0.7" right="0.7" top="0.75" bottom="0.75" header="0.3" footer="0.3"/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H81"/>
  <sheetViews>
    <sheetView topLeftCell="A64" workbookViewId="0">
      <selection activeCell="B78" sqref="B78"/>
    </sheetView>
  </sheetViews>
  <sheetFormatPr defaultRowHeight="14.5" x14ac:dyDescent="0.35"/>
  <cols>
    <col min="1" max="1" width="10.54296875" bestFit="1" customWidth="1"/>
    <col min="2" max="2" width="7.81640625" bestFit="1" customWidth="1"/>
    <col min="3" max="3" width="8" bestFit="1" customWidth="1"/>
    <col min="7" max="7" width="10.54296875" bestFit="1" customWidth="1"/>
  </cols>
  <sheetData>
    <row r="1" spans="1:6" x14ac:dyDescent="0.35">
      <c r="A1" t="s">
        <v>3</v>
      </c>
      <c r="B1" s="1" t="s">
        <v>4</v>
      </c>
      <c r="C1" t="s">
        <v>29</v>
      </c>
      <c r="E1" t="s">
        <v>28</v>
      </c>
      <c r="F1">
        <v>0.7</v>
      </c>
    </row>
    <row r="2" spans="1:6" x14ac:dyDescent="0.35">
      <c r="A2" s="3">
        <v>43131</v>
      </c>
      <c r="B2" s="2">
        <v>1248</v>
      </c>
      <c r="C2" s="2">
        <v>1248</v>
      </c>
    </row>
    <row r="3" spans="1:6" x14ac:dyDescent="0.35">
      <c r="A3" s="3">
        <v>43159</v>
      </c>
      <c r="B3" s="2">
        <v>972</v>
      </c>
      <c r="C3" s="2">
        <f>($F$1*B2)+((1-$F$1)*C2)</f>
        <v>1248</v>
      </c>
    </row>
    <row r="4" spans="1:6" x14ac:dyDescent="0.35">
      <c r="A4" s="3">
        <v>43190</v>
      </c>
      <c r="B4" s="2">
        <v>1371</v>
      </c>
      <c r="C4" s="2">
        <f t="shared" ref="C4:C42" si="0">($F$1*B3)+((1-$F$1)*C3)</f>
        <v>1054.8</v>
      </c>
    </row>
    <row r="5" spans="1:6" x14ac:dyDescent="0.35">
      <c r="A5" s="3">
        <v>43220</v>
      </c>
      <c r="B5" s="2">
        <v>1000</v>
      </c>
      <c r="C5" s="2">
        <f t="shared" si="0"/>
        <v>1276.1399999999999</v>
      </c>
    </row>
    <row r="6" spans="1:6" x14ac:dyDescent="0.35">
      <c r="A6" s="3">
        <v>43251</v>
      </c>
      <c r="B6" s="2">
        <v>964</v>
      </c>
      <c r="C6" s="2">
        <f t="shared" si="0"/>
        <v>1082.8420000000001</v>
      </c>
    </row>
    <row r="7" spans="1:6" x14ac:dyDescent="0.35">
      <c r="A7" s="3">
        <v>43281</v>
      </c>
      <c r="B7" s="2">
        <v>827</v>
      </c>
      <c r="C7" s="2">
        <f t="shared" si="0"/>
        <v>999.65260000000001</v>
      </c>
    </row>
    <row r="8" spans="1:6" x14ac:dyDescent="0.35">
      <c r="A8" s="3">
        <v>43312</v>
      </c>
      <c r="B8" s="2">
        <v>1571</v>
      </c>
      <c r="C8" s="2">
        <f t="shared" si="0"/>
        <v>878.79578000000004</v>
      </c>
    </row>
    <row r="9" spans="1:6" x14ac:dyDescent="0.35">
      <c r="A9" s="3">
        <v>43343</v>
      </c>
      <c r="B9" s="2">
        <v>1547</v>
      </c>
      <c r="C9" s="2">
        <f t="shared" si="0"/>
        <v>1363.3387339999999</v>
      </c>
    </row>
    <row r="10" spans="1:6" x14ac:dyDescent="0.35">
      <c r="A10" s="3">
        <v>43373</v>
      </c>
      <c r="B10" s="2">
        <v>1576</v>
      </c>
      <c r="C10" s="2">
        <f t="shared" si="0"/>
        <v>1491.9016201999998</v>
      </c>
    </row>
    <row r="11" spans="1:6" x14ac:dyDescent="0.35">
      <c r="A11" s="3">
        <v>43404</v>
      </c>
      <c r="B11" s="2">
        <v>1376</v>
      </c>
      <c r="C11" s="2">
        <f t="shared" si="0"/>
        <v>1550.7704860599997</v>
      </c>
    </row>
    <row r="12" spans="1:6" x14ac:dyDescent="0.35">
      <c r="A12" s="3">
        <v>43434</v>
      </c>
      <c r="B12" s="2">
        <v>1144</v>
      </c>
      <c r="C12" s="2">
        <f t="shared" si="0"/>
        <v>1428.431145818</v>
      </c>
    </row>
    <row r="13" spans="1:6" x14ac:dyDescent="0.35">
      <c r="A13" s="3">
        <v>43465</v>
      </c>
      <c r="B13" s="2">
        <v>1148</v>
      </c>
      <c r="C13" s="2">
        <f t="shared" si="0"/>
        <v>1229.3293437453999</v>
      </c>
    </row>
    <row r="14" spans="1:6" x14ac:dyDescent="0.35">
      <c r="A14" s="3">
        <v>43496</v>
      </c>
      <c r="B14" s="2">
        <v>1358</v>
      </c>
      <c r="C14" s="2">
        <f t="shared" si="0"/>
        <v>1172.3988031236199</v>
      </c>
    </row>
    <row r="15" spans="1:6" x14ac:dyDescent="0.35">
      <c r="A15" s="3">
        <v>43524</v>
      </c>
      <c r="B15" s="2">
        <v>1157</v>
      </c>
      <c r="C15" s="2">
        <f t="shared" si="0"/>
        <v>1302.319640937086</v>
      </c>
    </row>
    <row r="16" spans="1:6" x14ac:dyDescent="0.35">
      <c r="A16" s="3">
        <v>43555</v>
      </c>
      <c r="B16" s="2">
        <v>1372</v>
      </c>
      <c r="C16" s="2">
        <f t="shared" si="0"/>
        <v>1200.5958922811258</v>
      </c>
    </row>
    <row r="17" spans="1:3" x14ac:dyDescent="0.35">
      <c r="A17" s="3">
        <v>43585</v>
      </c>
      <c r="B17" s="2">
        <v>1727</v>
      </c>
      <c r="C17" s="2">
        <f t="shared" si="0"/>
        <v>1320.5787676843379</v>
      </c>
    </row>
    <row r="18" spans="1:3" x14ac:dyDescent="0.35">
      <c r="A18" s="3">
        <v>43616</v>
      </c>
      <c r="B18" s="2">
        <v>2207</v>
      </c>
      <c r="C18" s="2">
        <f t="shared" si="0"/>
        <v>1605.0736303053013</v>
      </c>
    </row>
    <row r="19" spans="1:3" x14ac:dyDescent="0.35">
      <c r="A19" s="3">
        <v>43646</v>
      </c>
      <c r="B19" s="2">
        <v>2286</v>
      </c>
      <c r="C19" s="2">
        <f t="shared" si="0"/>
        <v>2026.4220890915904</v>
      </c>
    </row>
    <row r="20" spans="1:3" x14ac:dyDescent="0.35">
      <c r="A20" s="3">
        <v>43677</v>
      </c>
      <c r="B20" s="2">
        <v>3750</v>
      </c>
      <c r="C20" s="2">
        <f t="shared" si="0"/>
        <v>2208.1266267274768</v>
      </c>
    </row>
    <row r="21" spans="1:3" x14ac:dyDescent="0.35">
      <c r="A21" s="3">
        <v>43708</v>
      </c>
      <c r="B21" s="2">
        <v>3961</v>
      </c>
      <c r="C21" s="2">
        <f t="shared" si="0"/>
        <v>3287.4379880182432</v>
      </c>
    </row>
    <row r="22" spans="1:3" x14ac:dyDescent="0.35">
      <c r="A22" s="3">
        <v>43738</v>
      </c>
      <c r="B22" s="2">
        <v>983</v>
      </c>
      <c r="C22" s="2">
        <f t="shared" si="0"/>
        <v>3758.9313964054727</v>
      </c>
    </row>
    <row r="23" spans="1:3" x14ac:dyDescent="0.35">
      <c r="A23" s="3">
        <v>43769</v>
      </c>
      <c r="B23" s="2">
        <v>203</v>
      </c>
      <c r="C23" s="2">
        <f t="shared" si="0"/>
        <v>1815.779418921642</v>
      </c>
    </row>
    <row r="24" spans="1:3" x14ac:dyDescent="0.35">
      <c r="A24" s="3">
        <v>43799</v>
      </c>
      <c r="B24" s="2">
        <v>110</v>
      </c>
      <c r="C24" s="2">
        <f t="shared" si="0"/>
        <v>686.83382567649267</v>
      </c>
    </row>
    <row r="25" spans="1:3" x14ac:dyDescent="0.35">
      <c r="A25" s="3">
        <v>43830</v>
      </c>
      <c r="B25" s="2">
        <v>3205</v>
      </c>
      <c r="C25" s="2">
        <f t="shared" si="0"/>
        <v>283.05014770294781</v>
      </c>
    </row>
    <row r="26" spans="1:3" x14ac:dyDescent="0.35">
      <c r="A26" s="3">
        <v>43861</v>
      </c>
      <c r="B26" s="2">
        <v>3809</v>
      </c>
      <c r="C26" s="2">
        <f t="shared" si="0"/>
        <v>2328.4150443108842</v>
      </c>
    </row>
    <row r="27" spans="1:3" x14ac:dyDescent="0.35">
      <c r="A27" s="3">
        <v>43890</v>
      </c>
      <c r="B27" s="2">
        <v>2280</v>
      </c>
      <c r="C27" s="2">
        <f t="shared" si="0"/>
        <v>3364.8245132932652</v>
      </c>
    </row>
    <row r="28" spans="1:3" x14ac:dyDescent="0.35">
      <c r="A28" s="3">
        <v>43921</v>
      </c>
      <c r="B28" s="2">
        <v>117</v>
      </c>
      <c r="C28" s="2">
        <f t="shared" si="0"/>
        <v>2605.4473539879796</v>
      </c>
    </row>
    <row r="29" spans="1:3" x14ac:dyDescent="0.35">
      <c r="A29" s="3">
        <v>43951</v>
      </c>
      <c r="B29" s="2">
        <v>646</v>
      </c>
      <c r="C29" s="2">
        <f t="shared" si="0"/>
        <v>863.53420619639394</v>
      </c>
    </row>
    <row r="30" spans="1:3" x14ac:dyDescent="0.35">
      <c r="A30" s="3">
        <v>43982</v>
      </c>
      <c r="B30" s="2">
        <v>2353</v>
      </c>
      <c r="C30" s="2">
        <f t="shared" si="0"/>
        <v>711.26026185891828</v>
      </c>
    </row>
    <row r="31" spans="1:3" x14ac:dyDescent="0.35">
      <c r="A31" s="3">
        <v>44012</v>
      </c>
      <c r="B31" s="2">
        <v>2371</v>
      </c>
      <c r="C31" s="2">
        <f t="shared" si="0"/>
        <v>1860.4780785576754</v>
      </c>
    </row>
    <row r="32" spans="1:3" x14ac:dyDescent="0.35">
      <c r="A32" s="3">
        <v>44043</v>
      </c>
      <c r="B32" s="5">
        <v>672</v>
      </c>
      <c r="C32" s="2">
        <f t="shared" si="0"/>
        <v>2217.8434235673026</v>
      </c>
    </row>
    <row r="33" spans="1:8" x14ac:dyDescent="0.35">
      <c r="A33" s="3">
        <v>44074</v>
      </c>
      <c r="B33" s="5">
        <v>716</v>
      </c>
      <c r="C33" s="2">
        <f t="shared" si="0"/>
        <v>1135.7530270701909</v>
      </c>
    </row>
    <row r="34" spans="1:8" x14ac:dyDescent="0.35">
      <c r="A34" s="3">
        <v>44104</v>
      </c>
      <c r="B34" s="5">
        <v>709</v>
      </c>
      <c r="C34" s="2">
        <f t="shared" si="0"/>
        <v>841.92590812105732</v>
      </c>
      <c r="G34" t="s">
        <v>30</v>
      </c>
      <c r="H34" t="s">
        <v>33</v>
      </c>
    </row>
    <row r="35" spans="1:8" x14ac:dyDescent="0.35">
      <c r="A35" s="3">
        <v>44135</v>
      </c>
      <c r="B35" s="5">
        <v>777</v>
      </c>
      <c r="C35" s="2">
        <f t="shared" si="0"/>
        <v>748.87777243631717</v>
      </c>
      <c r="G35" s="3">
        <v>44012</v>
      </c>
      <c r="H35" s="5">
        <f t="shared" ref="H35:H38" si="1">SUM(C31:C34)</f>
        <v>6056.0004373162265</v>
      </c>
    </row>
    <row r="36" spans="1:8" x14ac:dyDescent="0.35">
      <c r="A36" s="3">
        <v>44165</v>
      </c>
      <c r="B36" s="5">
        <v>1204</v>
      </c>
      <c r="C36" s="2">
        <f t="shared" si="0"/>
        <v>768.56333173089513</v>
      </c>
      <c r="G36" s="3">
        <v>44043</v>
      </c>
      <c r="H36" s="5">
        <f t="shared" si="1"/>
        <v>4944.4001311948678</v>
      </c>
    </row>
    <row r="37" spans="1:8" x14ac:dyDescent="0.35">
      <c r="A37" s="3">
        <v>44196</v>
      </c>
      <c r="B37" s="5">
        <v>1038</v>
      </c>
      <c r="C37" s="2">
        <f t="shared" si="0"/>
        <v>1073.3689995192685</v>
      </c>
      <c r="G37" s="3">
        <v>44074</v>
      </c>
      <c r="H37" s="5">
        <f t="shared" si="1"/>
        <v>3495.1200393584609</v>
      </c>
    </row>
    <row r="38" spans="1:8" x14ac:dyDescent="0.35">
      <c r="A38" s="3">
        <v>44227</v>
      </c>
      <c r="B38" s="5">
        <v>803</v>
      </c>
      <c r="C38" s="2">
        <f t="shared" si="0"/>
        <v>1048.6106998557805</v>
      </c>
      <c r="G38" s="3">
        <v>44104</v>
      </c>
      <c r="H38" s="5">
        <f t="shared" si="1"/>
        <v>3432.736011807538</v>
      </c>
    </row>
    <row r="39" spans="1:8" x14ac:dyDescent="0.35">
      <c r="A39" s="3">
        <v>44255</v>
      </c>
      <c r="B39" s="5">
        <v>710</v>
      </c>
      <c r="C39" s="2">
        <f t="shared" si="0"/>
        <v>876.68320995673412</v>
      </c>
      <c r="G39" s="3">
        <v>44135</v>
      </c>
      <c r="H39" s="5">
        <f t="shared" ref="H39:H44" si="2">SUM(C35:C38)</f>
        <v>3639.4208035422616</v>
      </c>
    </row>
    <row r="40" spans="1:8" x14ac:dyDescent="0.35">
      <c r="A40" s="3">
        <v>44286</v>
      </c>
      <c r="B40" s="5">
        <v>796</v>
      </c>
      <c r="C40" s="2">
        <f t="shared" si="0"/>
        <v>760.00496298702024</v>
      </c>
      <c r="G40" s="3">
        <v>44165</v>
      </c>
      <c r="H40" s="5">
        <f t="shared" si="2"/>
        <v>3767.2262410626786</v>
      </c>
    </row>
    <row r="41" spans="1:8" x14ac:dyDescent="0.35">
      <c r="A41" s="3">
        <v>44316</v>
      </c>
      <c r="B41" s="5">
        <v>713</v>
      </c>
      <c r="C41" s="2">
        <f t="shared" si="0"/>
        <v>785.20148889610607</v>
      </c>
      <c r="G41" s="3">
        <v>44196</v>
      </c>
      <c r="H41" s="5">
        <f t="shared" si="2"/>
        <v>3758.6678723188033</v>
      </c>
    </row>
    <row r="42" spans="1:8" x14ac:dyDescent="0.35">
      <c r="A42" s="3">
        <v>44347</v>
      </c>
      <c r="B42" s="5">
        <v>718</v>
      </c>
      <c r="C42" s="2">
        <f t="shared" si="0"/>
        <v>734.66044666883181</v>
      </c>
      <c r="G42" s="3">
        <v>44227</v>
      </c>
      <c r="H42" s="5">
        <f t="shared" si="2"/>
        <v>3470.500361695641</v>
      </c>
    </row>
    <row r="43" spans="1:8" x14ac:dyDescent="0.35">
      <c r="A43" s="3">
        <v>44377</v>
      </c>
      <c r="B43" s="5">
        <v>676</v>
      </c>
      <c r="C43" s="2">
        <f t="shared" ref="C43:C44" si="3">($F$1*B42)+((1-$F$1)*C42)</f>
        <v>722.99813400064954</v>
      </c>
      <c r="G43" s="3">
        <v>44255</v>
      </c>
      <c r="H43" s="5">
        <f t="shared" si="2"/>
        <v>3156.5501085086921</v>
      </c>
    </row>
    <row r="44" spans="1:8" x14ac:dyDescent="0.35">
      <c r="A44" s="3">
        <v>44408</v>
      </c>
      <c r="B44" s="5">
        <v>628</v>
      </c>
      <c r="C44" s="2">
        <f t="shared" si="3"/>
        <v>690.09944020019486</v>
      </c>
      <c r="G44" s="3">
        <v>44286</v>
      </c>
      <c r="H44" s="5">
        <f t="shared" si="2"/>
        <v>3002.8650325526078</v>
      </c>
    </row>
    <row r="45" spans="1:8" x14ac:dyDescent="0.35">
      <c r="A45" s="3">
        <v>44439</v>
      </c>
      <c r="B45" s="5">
        <v>602</v>
      </c>
      <c r="C45" s="2">
        <f t="shared" ref="C45:C47" si="4">($F$1*B44)+((1-$F$1)*C44)</f>
        <v>646.62983206005845</v>
      </c>
      <c r="G45" s="3">
        <v>44316</v>
      </c>
      <c r="H45" s="5">
        <f t="shared" ref="H45:H46" si="5">SUM(C41:C44)</f>
        <v>2932.9595097657825</v>
      </c>
    </row>
    <row r="46" spans="1:8" x14ac:dyDescent="0.35">
      <c r="A46" s="3">
        <v>44469</v>
      </c>
      <c r="B46" s="5">
        <v>573</v>
      </c>
      <c r="C46" s="2">
        <f t="shared" si="4"/>
        <v>615.38894961801748</v>
      </c>
      <c r="G46" s="3">
        <v>44347</v>
      </c>
      <c r="H46" s="5">
        <f t="shared" si="5"/>
        <v>2794.3878529297349</v>
      </c>
    </row>
    <row r="47" spans="1:8" x14ac:dyDescent="0.35">
      <c r="A47" s="3">
        <v>44500</v>
      </c>
      <c r="B47" s="5">
        <v>509</v>
      </c>
      <c r="C47" s="2">
        <f t="shared" si="4"/>
        <v>585.71668488540524</v>
      </c>
      <c r="G47" s="3">
        <v>44377</v>
      </c>
      <c r="H47" s="5">
        <f t="shared" ref="H47:H48" si="6">SUM(C43:C46)</f>
        <v>2675.1163558789203</v>
      </c>
    </row>
    <row r="48" spans="1:8" x14ac:dyDescent="0.35">
      <c r="A48" s="3">
        <v>44530</v>
      </c>
      <c r="B48" s="5">
        <v>536</v>
      </c>
      <c r="C48" s="2">
        <f t="shared" ref="C48:C49" si="7">($F$1*B47)+((1-$F$1)*C47)</f>
        <v>532.01500546562158</v>
      </c>
      <c r="G48" s="3">
        <v>44408</v>
      </c>
      <c r="H48" s="5">
        <f t="shared" si="6"/>
        <v>2537.8349067636759</v>
      </c>
    </row>
    <row r="49" spans="1:8" x14ac:dyDescent="0.35">
      <c r="A49" s="3">
        <v>44561</v>
      </c>
      <c r="B49" s="5">
        <v>446</v>
      </c>
      <c r="C49" s="2">
        <f t="shared" si="7"/>
        <v>534.80450163968646</v>
      </c>
      <c r="G49" s="3">
        <v>44439</v>
      </c>
      <c r="H49" s="5">
        <f t="shared" ref="H49:H66" si="8">SUM(C45:C48)</f>
        <v>2379.7504720291026</v>
      </c>
    </row>
    <row r="50" spans="1:8" x14ac:dyDescent="0.35">
      <c r="A50" s="3">
        <v>44592</v>
      </c>
      <c r="B50" s="5">
        <v>486</v>
      </c>
      <c r="C50" s="2">
        <f t="shared" ref="C50:C51" si="9">($F$1*B49)+((1-$F$1)*C49)</f>
        <v>472.64135049190594</v>
      </c>
      <c r="G50" s="3">
        <v>44469</v>
      </c>
      <c r="H50" s="5">
        <f t="shared" si="8"/>
        <v>2267.9251416087304</v>
      </c>
    </row>
    <row r="51" spans="1:8" x14ac:dyDescent="0.35">
      <c r="A51" s="3">
        <v>44620</v>
      </c>
      <c r="B51" s="5">
        <v>312</v>
      </c>
      <c r="C51" s="2">
        <f t="shared" si="9"/>
        <v>481.99240514757179</v>
      </c>
      <c r="G51" s="3">
        <v>44500</v>
      </c>
      <c r="H51" s="5">
        <f t="shared" si="8"/>
        <v>2125.1775424826192</v>
      </c>
    </row>
    <row r="52" spans="1:8" x14ac:dyDescent="0.35">
      <c r="A52" s="3">
        <v>44651</v>
      </c>
      <c r="B52" s="5">
        <v>496</v>
      </c>
      <c r="C52" s="2">
        <f t="shared" ref="C52:C53" si="10">($F$1*B51)+((1-$F$1)*C51)</f>
        <v>362.99772154427154</v>
      </c>
      <c r="G52" s="3">
        <v>44530</v>
      </c>
      <c r="H52" s="5">
        <f t="shared" si="8"/>
        <v>2021.4532627447859</v>
      </c>
    </row>
    <row r="53" spans="1:8" x14ac:dyDescent="0.35">
      <c r="A53" s="3">
        <v>44681</v>
      </c>
      <c r="B53" s="5">
        <v>482</v>
      </c>
      <c r="C53" s="2">
        <f t="shared" si="10"/>
        <v>456.09931646328147</v>
      </c>
      <c r="G53" s="3">
        <v>44561</v>
      </c>
      <c r="H53" s="5">
        <f t="shared" si="8"/>
        <v>1852.4359788234358</v>
      </c>
    </row>
    <row r="54" spans="1:8" x14ac:dyDescent="0.35">
      <c r="A54" s="3">
        <v>44712</v>
      </c>
      <c r="B54" s="5">
        <v>429</v>
      </c>
      <c r="C54" s="2">
        <f t="shared" ref="C54:C79" si="11">($F$1*B53)+((1-$F$1)*C53)</f>
        <v>474.22979493898447</v>
      </c>
      <c r="G54" s="3">
        <v>44592</v>
      </c>
      <c r="H54" s="5">
        <f t="shared" si="8"/>
        <v>1773.7307936470306</v>
      </c>
    </row>
    <row r="55" spans="1:8" x14ac:dyDescent="0.35">
      <c r="A55" s="3">
        <v>44742</v>
      </c>
      <c r="B55" s="5">
        <v>568</v>
      </c>
      <c r="C55" s="2">
        <f t="shared" si="11"/>
        <v>442.56893848169534</v>
      </c>
      <c r="G55" s="3">
        <v>44620</v>
      </c>
      <c r="H55" s="5">
        <f t="shared" si="8"/>
        <v>1775.3192380941093</v>
      </c>
    </row>
    <row r="56" spans="1:8" x14ac:dyDescent="0.35">
      <c r="A56" s="3">
        <v>44773</v>
      </c>
      <c r="B56" s="5">
        <v>418</v>
      </c>
      <c r="C56" s="2">
        <f t="shared" si="11"/>
        <v>530.37068154450856</v>
      </c>
      <c r="G56" s="3">
        <v>44651</v>
      </c>
      <c r="H56" s="5">
        <f t="shared" si="8"/>
        <v>1735.8957714282328</v>
      </c>
    </row>
    <row r="57" spans="1:8" x14ac:dyDescent="0.35">
      <c r="A57" s="3">
        <v>44804</v>
      </c>
      <c r="B57" s="5">
        <v>475</v>
      </c>
      <c r="C57" s="2">
        <f t="shared" ref="C57:C59" si="12">($F$1*B56)+((1-$F$1)*C56)</f>
        <v>451.71120446335254</v>
      </c>
      <c r="G57" s="3">
        <v>44681</v>
      </c>
      <c r="H57" s="5">
        <f t="shared" si="8"/>
        <v>1903.2687314284699</v>
      </c>
    </row>
    <row r="58" spans="1:8" x14ac:dyDescent="0.35">
      <c r="A58" s="3">
        <v>44834</v>
      </c>
      <c r="B58" s="5">
        <v>536</v>
      </c>
      <c r="C58" s="2">
        <f t="shared" si="11"/>
        <v>468.01336133900577</v>
      </c>
      <c r="G58" s="3">
        <v>44712</v>
      </c>
      <c r="H58" s="5">
        <f t="shared" ref="H58:H64" si="13">SUM(C54:C57)</f>
        <v>1898.880619428541</v>
      </c>
    </row>
    <row r="59" spans="1:8" x14ac:dyDescent="0.35">
      <c r="A59" s="3">
        <v>44865</v>
      </c>
      <c r="B59" s="5">
        <v>554</v>
      </c>
      <c r="C59" s="2">
        <f t="shared" si="12"/>
        <v>515.60400840170178</v>
      </c>
      <c r="G59" s="3">
        <v>44742</v>
      </c>
      <c r="H59" s="5">
        <f t="shared" si="8"/>
        <v>1892.6641858285623</v>
      </c>
    </row>
    <row r="60" spans="1:8" x14ac:dyDescent="0.35">
      <c r="A60" s="3">
        <v>44895</v>
      </c>
      <c r="B60" s="5">
        <v>518</v>
      </c>
      <c r="C60" s="2">
        <f t="shared" si="11"/>
        <v>542.48120252051058</v>
      </c>
      <c r="G60" s="3">
        <v>44773</v>
      </c>
      <c r="H60" s="5">
        <f t="shared" si="13"/>
        <v>1965.6992557485687</v>
      </c>
    </row>
    <row r="61" spans="1:8" x14ac:dyDescent="0.35">
      <c r="A61" s="3">
        <v>44926</v>
      </c>
      <c r="B61" s="5">
        <v>659</v>
      </c>
      <c r="C61" s="2">
        <f t="shared" si="11"/>
        <v>525.34436075615315</v>
      </c>
      <c r="G61" s="3">
        <v>44804</v>
      </c>
      <c r="H61" s="5">
        <f t="shared" si="8"/>
        <v>1977.8097767245706</v>
      </c>
    </row>
    <row r="62" spans="1:8" x14ac:dyDescent="0.35">
      <c r="A62" s="3">
        <v>44957</v>
      </c>
      <c r="B62" s="5">
        <v>688</v>
      </c>
      <c r="C62" s="2">
        <f t="shared" si="11"/>
        <v>618.90330822684587</v>
      </c>
      <c r="G62" s="3">
        <v>44834</v>
      </c>
      <c r="H62" s="5">
        <f t="shared" si="13"/>
        <v>2051.4429330173712</v>
      </c>
    </row>
    <row r="63" spans="1:8" x14ac:dyDescent="0.35">
      <c r="A63" s="3">
        <v>44985</v>
      </c>
      <c r="B63" s="5">
        <v>652</v>
      </c>
      <c r="C63" s="2">
        <f t="shared" ref="C63" si="14">($F$1*B62)+((1-$F$1)*C62)</f>
        <v>667.27099246805369</v>
      </c>
      <c r="G63" s="3">
        <v>44865</v>
      </c>
      <c r="H63" s="5">
        <f t="shared" si="8"/>
        <v>2202.3328799052115</v>
      </c>
    </row>
    <row r="64" spans="1:8" x14ac:dyDescent="0.35">
      <c r="A64" s="3">
        <v>45016</v>
      </c>
      <c r="B64" s="5">
        <v>221</v>
      </c>
      <c r="C64" s="2">
        <f t="shared" si="11"/>
        <v>656.58129774041618</v>
      </c>
      <c r="G64" s="3">
        <v>44895</v>
      </c>
      <c r="H64" s="5">
        <f t="shared" si="13"/>
        <v>2353.9998639715632</v>
      </c>
    </row>
    <row r="65" spans="1:8" x14ac:dyDescent="0.35">
      <c r="A65" s="3">
        <v>45046</v>
      </c>
      <c r="B65" s="5">
        <v>33</v>
      </c>
      <c r="C65" s="2">
        <f t="shared" si="11"/>
        <v>351.67438932212485</v>
      </c>
      <c r="G65" s="3">
        <v>44926</v>
      </c>
      <c r="H65" s="5">
        <f t="shared" si="8"/>
        <v>2468.0999591914688</v>
      </c>
    </row>
    <row r="66" spans="1:8" x14ac:dyDescent="0.35">
      <c r="A66" s="3">
        <v>45077</v>
      </c>
      <c r="B66" s="5">
        <v>48</v>
      </c>
      <c r="C66" s="2">
        <f t="shared" ref="C66" si="15">($F$1*B65)+((1-$F$1)*C65)</f>
        <v>128.60231679663747</v>
      </c>
      <c r="G66" s="3">
        <v>44957</v>
      </c>
      <c r="H66" s="5">
        <f t="shared" si="8"/>
        <v>2294.4299877574404</v>
      </c>
    </row>
    <row r="67" spans="1:8" x14ac:dyDescent="0.35">
      <c r="A67" s="3">
        <v>45107</v>
      </c>
      <c r="B67" s="5">
        <v>118</v>
      </c>
      <c r="C67" s="2">
        <f t="shared" si="11"/>
        <v>72.180695038991246</v>
      </c>
      <c r="G67" s="3">
        <v>44985</v>
      </c>
      <c r="H67" s="5">
        <f t="shared" ref="H67:H81" si="16">SUM(C63:C66)</f>
        <v>1804.1289963272322</v>
      </c>
    </row>
    <row r="68" spans="1:8" x14ac:dyDescent="0.35">
      <c r="A68" s="3">
        <v>45138</v>
      </c>
      <c r="B68" s="5">
        <v>517</v>
      </c>
      <c r="C68" s="2">
        <f t="shared" si="11"/>
        <v>104.25420851169737</v>
      </c>
      <c r="G68" s="3">
        <v>45016</v>
      </c>
      <c r="H68" s="5">
        <f t="shared" si="16"/>
        <v>1209.0386988981697</v>
      </c>
    </row>
    <row r="69" spans="1:8" x14ac:dyDescent="0.35">
      <c r="A69" s="3">
        <v>45169</v>
      </c>
      <c r="B69" s="5">
        <v>705</v>
      </c>
      <c r="C69" s="2">
        <f t="shared" si="11"/>
        <v>393.17626255350922</v>
      </c>
      <c r="G69" s="3">
        <v>45046</v>
      </c>
      <c r="H69" s="5">
        <f t="shared" si="16"/>
        <v>656.71160966945092</v>
      </c>
    </row>
    <row r="70" spans="1:8" x14ac:dyDescent="0.35">
      <c r="A70" s="3">
        <v>45199</v>
      </c>
      <c r="B70" s="5">
        <v>546</v>
      </c>
      <c r="C70" s="2">
        <f t="shared" si="11"/>
        <v>611.45287876605266</v>
      </c>
      <c r="G70" s="3">
        <v>45077</v>
      </c>
      <c r="H70" s="5">
        <f t="shared" si="16"/>
        <v>698.21348290083529</v>
      </c>
    </row>
    <row r="71" spans="1:8" x14ac:dyDescent="0.35">
      <c r="A71" s="3">
        <v>45230</v>
      </c>
      <c r="B71" s="5">
        <v>558</v>
      </c>
      <c r="C71" s="2">
        <f t="shared" si="11"/>
        <v>565.63586362981584</v>
      </c>
      <c r="G71" s="3">
        <v>45107</v>
      </c>
      <c r="H71" s="5">
        <f t="shared" si="16"/>
        <v>1181.0640448702504</v>
      </c>
    </row>
    <row r="72" spans="1:8" x14ac:dyDescent="0.35">
      <c r="A72" s="3">
        <v>45260</v>
      </c>
      <c r="B72" s="5">
        <v>573</v>
      </c>
      <c r="C72" s="2">
        <f t="shared" si="11"/>
        <v>560.2907590889447</v>
      </c>
      <c r="G72" s="3">
        <v>45138</v>
      </c>
      <c r="H72" s="5">
        <f t="shared" si="16"/>
        <v>1674.5192134610752</v>
      </c>
    </row>
    <row r="73" spans="1:8" x14ac:dyDescent="0.35">
      <c r="A73" s="3">
        <v>45291</v>
      </c>
      <c r="B73" s="5">
        <v>621</v>
      </c>
      <c r="C73" s="2">
        <f t="shared" si="11"/>
        <v>569.18722772668343</v>
      </c>
      <c r="G73" s="3">
        <v>45169</v>
      </c>
      <c r="H73" s="5">
        <f t="shared" si="16"/>
        <v>2130.5557640383222</v>
      </c>
    </row>
    <row r="74" spans="1:8" x14ac:dyDescent="0.35">
      <c r="A74" s="3">
        <v>45322</v>
      </c>
      <c r="B74" s="5">
        <v>740</v>
      </c>
      <c r="C74" s="2">
        <f t="shared" si="11"/>
        <v>605.45616831800498</v>
      </c>
      <c r="G74" s="3">
        <v>45199</v>
      </c>
      <c r="H74" s="5">
        <f t="shared" si="16"/>
        <v>2306.5667292114967</v>
      </c>
    </row>
    <row r="75" spans="1:8" x14ac:dyDescent="0.35">
      <c r="A75" s="3">
        <v>45351</v>
      </c>
      <c r="B75" s="5">
        <v>625</v>
      </c>
      <c r="C75" s="2">
        <f t="shared" si="11"/>
        <v>699.63685049540152</v>
      </c>
      <c r="G75" s="3">
        <v>45230</v>
      </c>
      <c r="H75" s="5">
        <f t="shared" si="16"/>
        <v>2300.5700187634488</v>
      </c>
    </row>
    <row r="76" spans="1:8" x14ac:dyDescent="0.35">
      <c r="A76" s="3">
        <v>45382</v>
      </c>
      <c r="B76" s="5">
        <v>684</v>
      </c>
      <c r="C76" s="2">
        <f t="shared" si="11"/>
        <v>647.39105514862047</v>
      </c>
      <c r="G76" s="3">
        <v>45260</v>
      </c>
      <c r="H76" s="5">
        <f t="shared" si="16"/>
        <v>2434.5710056290345</v>
      </c>
    </row>
    <row r="77" spans="1:8" x14ac:dyDescent="0.35">
      <c r="A77" s="3">
        <v>45412</v>
      </c>
      <c r="B77">
        <v>874</v>
      </c>
      <c r="C77" s="2">
        <f t="shared" si="11"/>
        <v>673.01731654458615</v>
      </c>
      <c r="G77" s="3">
        <v>45291</v>
      </c>
      <c r="H77" s="5">
        <f t="shared" si="16"/>
        <v>2521.6713016887106</v>
      </c>
    </row>
    <row r="78" spans="1:8" x14ac:dyDescent="0.35">
      <c r="A78" s="3">
        <v>45443</v>
      </c>
      <c r="C78" s="2">
        <f t="shared" si="11"/>
        <v>813.70519496337579</v>
      </c>
      <c r="G78" s="3">
        <v>45322</v>
      </c>
      <c r="H78" s="5">
        <f t="shared" si="16"/>
        <v>2625.5013905066135</v>
      </c>
    </row>
    <row r="79" spans="1:8" x14ac:dyDescent="0.35">
      <c r="A79" s="3">
        <v>45473</v>
      </c>
      <c r="C79" s="2">
        <f t="shared" si="11"/>
        <v>244.11155848901276</v>
      </c>
      <c r="G79" s="3">
        <v>45351</v>
      </c>
      <c r="H79" s="5">
        <f t="shared" si="16"/>
        <v>2833.750417151984</v>
      </c>
    </row>
    <row r="80" spans="1:8" x14ac:dyDescent="0.35">
      <c r="G80" s="3">
        <v>45382</v>
      </c>
      <c r="H80" s="5">
        <f t="shared" si="16"/>
        <v>2378.225125145595</v>
      </c>
    </row>
    <row r="81" spans="7:8" x14ac:dyDescent="0.35">
      <c r="G81" s="3">
        <v>45412</v>
      </c>
      <c r="H81" s="5">
        <f t="shared" si="16"/>
        <v>1730.8340699969747</v>
      </c>
    </row>
  </sheetData>
  <pageMargins left="0.7" right="0.7" top="0.75" bottom="0.75" header="0.3" footer="0.3"/>
  <drawing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F26"/>
  <sheetViews>
    <sheetView topLeftCell="A10" workbookViewId="0">
      <selection activeCell="G24" sqref="G24"/>
    </sheetView>
  </sheetViews>
  <sheetFormatPr defaultRowHeight="14.5" x14ac:dyDescent="0.35"/>
  <cols>
    <col min="1" max="1" width="10.453125" bestFit="1" customWidth="1"/>
    <col min="5" max="5" width="10.453125" bestFit="1" customWidth="1"/>
  </cols>
  <sheetData>
    <row r="1" spans="1:6" x14ac:dyDescent="0.35">
      <c r="A1" t="s">
        <v>3</v>
      </c>
      <c r="B1" s="1" t="s">
        <v>4</v>
      </c>
      <c r="C1" t="s">
        <v>29</v>
      </c>
      <c r="E1" t="s">
        <v>28</v>
      </c>
      <c r="F1">
        <v>0.7</v>
      </c>
    </row>
    <row r="2" spans="1:6" x14ac:dyDescent="0.35">
      <c r="A2" s="3">
        <v>44834</v>
      </c>
      <c r="B2">
        <v>49</v>
      </c>
      <c r="C2">
        <v>49</v>
      </c>
    </row>
    <row r="3" spans="1:6" x14ac:dyDescent="0.35">
      <c r="A3" s="3">
        <v>44865</v>
      </c>
      <c r="B3">
        <v>1540</v>
      </c>
      <c r="C3">
        <f t="shared" ref="C3:C23" si="0">($F$1*B2)+((1-$F$1)*C2)</f>
        <v>49</v>
      </c>
    </row>
    <row r="4" spans="1:6" x14ac:dyDescent="0.35">
      <c r="A4" s="3">
        <v>44895</v>
      </c>
      <c r="B4">
        <v>1810</v>
      </c>
      <c r="C4" s="13">
        <f t="shared" si="0"/>
        <v>1092.7</v>
      </c>
    </row>
    <row r="5" spans="1:6" x14ac:dyDescent="0.35">
      <c r="A5" s="3">
        <v>44926</v>
      </c>
      <c r="B5">
        <v>1041</v>
      </c>
      <c r="C5" s="13">
        <f t="shared" si="0"/>
        <v>1594.81</v>
      </c>
    </row>
    <row r="6" spans="1:6" x14ac:dyDescent="0.35">
      <c r="A6" s="3">
        <v>44957</v>
      </c>
      <c r="B6">
        <v>1798</v>
      </c>
      <c r="C6" s="13">
        <f t="shared" si="0"/>
        <v>1207.143</v>
      </c>
      <c r="E6" t="s">
        <v>32</v>
      </c>
      <c r="F6" t="s">
        <v>33</v>
      </c>
    </row>
    <row r="7" spans="1:6" x14ac:dyDescent="0.35">
      <c r="A7" s="3">
        <v>44985</v>
      </c>
      <c r="B7">
        <v>1191</v>
      </c>
      <c r="C7" s="13">
        <f t="shared" si="0"/>
        <v>1620.7429</v>
      </c>
      <c r="E7" s="3">
        <v>44834</v>
      </c>
      <c r="F7" s="5">
        <f>SUM(C2:C5)</f>
        <v>2785.51</v>
      </c>
    </row>
    <row r="8" spans="1:6" x14ac:dyDescent="0.35">
      <c r="A8" s="3">
        <v>45016</v>
      </c>
      <c r="B8">
        <v>1631</v>
      </c>
      <c r="C8" s="13">
        <f t="shared" si="0"/>
        <v>1319.9228699999999</v>
      </c>
      <c r="E8" s="3">
        <v>44865</v>
      </c>
      <c r="F8" s="5">
        <f>SUM(C3:C6)</f>
        <v>3943.6530000000002</v>
      </c>
    </row>
    <row r="9" spans="1:6" x14ac:dyDescent="0.35">
      <c r="A9" s="3">
        <v>45046</v>
      </c>
      <c r="B9">
        <v>1107</v>
      </c>
      <c r="C9" s="13">
        <f t="shared" si="0"/>
        <v>1537.6768609999999</v>
      </c>
      <c r="E9" s="3">
        <v>44895</v>
      </c>
      <c r="F9" s="5">
        <f t="shared" ref="F9:F12" si="1">SUM(C4:C7)</f>
        <v>5515.3959000000004</v>
      </c>
    </row>
    <row r="10" spans="1:6" x14ac:dyDescent="0.35">
      <c r="A10" s="3">
        <v>45077</v>
      </c>
      <c r="B10">
        <v>1392</v>
      </c>
      <c r="C10" s="13">
        <f t="shared" si="0"/>
        <v>1236.2030583000001</v>
      </c>
      <c r="E10" s="3">
        <v>44926</v>
      </c>
      <c r="F10" s="5">
        <f t="shared" si="1"/>
        <v>5742.6187699999991</v>
      </c>
    </row>
    <row r="11" spans="1:6" x14ac:dyDescent="0.35">
      <c r="A11" s="3">
        <v>45107</v>
      </c>
      <c r="B11">
        <v>1286</v>
      </c>
      <c r="C11" s="13">
        <f t="shared" si="0"/>
        <v>1345.2609174900001</v>
      </c>
      <c r="E11" s="3">
        <v>44957</v>
      </c>
      <c r="F11" s="5">
        <f t="shared" si="1"/>
        <v>5685.4856309999996</v>
      </c>
    </row>
    <row r="12" spans="1:6" x14ac:dyDescent="0.35">
      <c r="A12" s="3">
        <v>45138</v>
      </c>
      <c r="B12">
        <v>1195</v>
      </c>
      <c r="C12" s="13">
        <f t="shared" si="0"/>
        <v>1303.778275247</v>
      </c>
      <c r="E12" s="3">
        <v>44985</v>
      </c>
      <c r="F12" s="5">
        <f t="shared" si="1"/>
        <v>5714.5456892999991</v>
      </c>
    </row>
    <row r="13" spans="1:6" x14ac:dyDescent="0.35">
      <c r="A13" s="3">
        <v>45169</v>
      </c>
      <c r="B13">
        <v>1663</v>
      </c>
      <c r="C13" s="13">
        <f t="shared" si="0"/>
        <v>1227.6334825741001</v>
      </c>
      <c r="E13" s="3">
        <v>45016</v>
      </c>
      <c r="F13" s="5">
        <f t="shared" ref="F13:F26" si="2">SUM(C8:C11)</f>
        <v>5439.0637067899997</v>
      </c>
    </row>
    <row r="14" spans="1:6" x14ac:dyDescent="0.35">
      <c r="A14" s="3">
        <v>45199</v>
      </c>
      <c r="B14">
        <v>1996</v>
      </c>
      <c r="C14" s="13">
        <f t="shared" si="0"/>
        <v>1532.3900447722299</v>
      </c>
      <c r="E14" s="3">
        <v>45046</v>
      </c>
      <c r="F14" s="5">
        <f t="shared" si="2"/>
        <v>5422.9191120370006</v>
      </c>
    </row>
    <row r="15" spans="1:6" x14ac:dyDescent="0.35">
      <c r="A15" s="3">
        <v>45230</v>
      </c>
      <c r="B15">
        <v>2036</v>
      </c>
      <c r="C15" s="13">
        <f t="shared" si="0"/>
        <v>1856.9170134316689</v>
      </c>
      <c r="E15" s="3">
        <v>45077</v>
      </c>
      <c r="F15" s="5">
        <f t="shared" si="2"/>
        <v>5112.8757336111012</v>
      </c>
    </row>
    <row r="16" spans="1:6" x14ac:dyDescent="0.35">
      <c r="A16" s="3">
        <v>45260</v>
      </c>
      <c r="B16">
        <v>5496</v>
      </c>
      <c r="C16" s="13">
        <f t="shared" si="0"/>
        <v>1982.2751040295007</v>
      </c>
      <c r="E16" s="3">
        <v>45107</v>
      </c>
      <c r="F16" s="5">
        <f t="shared" si="2"/>
        <v>5409.0627200833296</v>
      </c>
    </row>
    <row r="17" spans="1:6" x14ac:dyDescent="0.35">
      <c r="A17" s="3">
        <v>45291</v>
      </c>
      <c r="B17">
        <v>6324</v>
      </c>
      <c r="C17" s="13">
        <f t="shared" si="0"/>
        <v>4441.8825312088502</v>
      </c>
      <c r="E17" s="3">
        <v>45138</v>
      </c>
      <c r="F17" s="5">
        <f t="shared" si="2"/>
        <v>5920.7188160249989</v>
      </c>
    </row>
    <row r="18" spans="1:6" x14ac:dyDescent="0.35">
      <c r="A18" s="3">
        <v>45322</v>
      </c>
      <c r="B18">
        <v>5616</v>
      </c>
      <c r="C18" s="13">
        <f t="shared" si="0"/>
        <v>5759.3647593626547</v>
      </c>
      <c r="E18" s="3">
        <v>45169</v>
      </c>
      <c r="F18" s="5">
        <f t="shared" si="2"/>
        <v>6599.2156448074993</v>
      </c>
    </row>
    <row r="19" spans="1:6" x14ac:dyDescent="0.35">
      <c r="A19" s="3">
        <v>45351</v>
      </c>
      <c r="B19">
        <v>3091</v>
      </c>
      <c r="C19" s="13">
        <f t="shared" si="0"/>
        <v>5659.0094278087963</v>
      </c>
      <c r="E19" s="3">
        <v>45199</v>
      </c>
      <c r="F19" s="5">
        <f t="shared" si="2"/>
        <v>9813.464693442249</v>
      </c>
    </row>
    <row r="20" spans="1:6" x14ac:dyDescent="0.35">
      <c r="A20" s="3">
        <v>45382</v>
      </c>
      <c r="B20">
        <v>2581</v>
      </c>
      <c r="C20" s="13">
        <f t="shared" si="0"/>
        <v>3861.4028283426387</v>
      </c>
      <c r="E20" s="3">
        <v>45230</v>
      </c>
      <c r="F20" s="5">
        <f t="shared" si="2"/>
        <v>14040.439408032675</v>
      </c>
    </row>
    <row r="21" spans="1:6" x14ac:dyDescent="0.35">
      <c r="A21" s="3">
        <v>45412</v>
      </c>
      <c r="B21">
        <v>2536</v>
      </c>
      <c r="C21" s="13">
        <f t="shared" si="0"/>
        <v>2965.1208485027919</v>
      </c>
      <c r="E21" s="3">
        <v>45260</v>
      </c>
      <c r="F21" s="5">
        <f t="shared" si="2"/>
        <v>17842.531822409801</v>
      </c>
    </row>
    <row r="22" spans="1:6" x14ac:dyDescent="0.35">
      <c r="A22" s="3">
        <v>45443</v>
      </c>
      <c r="C22" s="13">
        <f t="shared" si="0"/>
        <v>2664.7362545508377</v>
      </c>
      <c r="E22" s="3">
        <v>45291</v>
      </c>
      <c r="F22" s="5">
        <f t="shared" si="2"/>
        <v>19721.659546722938</v>
      </c>
    </row>
    <row r="23" spans="1:6" x14ac:dyDescent="0.35">
      <c r="A23" s="3">
        <v>45473</v>
      </c>
      <c r="C23" s="13">
        <f t="shared" si="0"/>
        <v>799.42087636525139</v>
      </c>
      <c r="E23" s="3">
        <v>45322</v>
      </c>
      <c r="F23" s="5">
        <f t="shared" si="2"/>
        <v>18244.897864016883</v>
      </c>
    </row>
    <row r="24" spans="1:6" x14ac:dyDescent="0.35">
      <c r="E24" s="3">
        <v>45351</v>
      </c>
      <c r="F24" s="5">
        <f t="shared" si="2"/>
        <v>15150.269359205064</v>
      </c>
    </row>
    <row r="25" spans="1:6" x14ac:dyDescent="0.35">
      <c r="E25" s="3">
        <f>'Exp Smoothing - Purple'!$G$80</f>
        <v>45382</v>
      </c>
      <c r="F25" s="5">
        <f t="shared" si="2"/>
        <v>10290.680807761519</v>
      </c>
    </row>
    <row r="26" spans="1:6" x14ac:dyDescent="0.35">
      <c r="E26" s="3">
        <v>45412</v>
      </c>
      <c r="F26" s="5">
        <f t="shared" si="2"/>
        <v>6429.2779794188809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F26"/>
  <sheetViews>
    <sheetView topLeftCell="A7" workbookViewId="0">
      <selection activeCell="H22" sqref="H22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7.81640625" bestFit="1" customWidth="1"/>
    <col min="5" max="5" width="10.453125" bestFit="1" customWidth="1"/>
    <col min="6" max="6" width="16.26953125" bestFit="1" customWidth="1"/>
  </cols>
  <sheetData>
    <row r="1" spans="1:6" x14ac:dyDescent="0.35">
      <c r="A1" t="s">
        <v>3</v>
      </c>
      <c r="B1" s="1" t="s">
        <v>4</v>
      </c>
      <c r="C1" t="s">
        <v>29</v>
      </c>
      <c r="E1" t="s">
        <v>28</v>
      </c>
      <c r="F1">
        <v>0.7</v>
      </c>
    </row>
    <row r="2" spans="1:6" x14ac:dyDescent="0.35">
      <c r="A2" s="3">
        <v>44834</v>
      </c>
      <c r="B2">
        <v>49</v>
      </c>
      <c r="C2">
        <v>49</v>
      </c>
    </row>
    <row r="3" spans="1:6" x14ac:dyDescent="0.35">
      <c r="A3" s="3">
        <v>44865</v>
      </c>
      <c r="B3">
        <v>1736</v>
      </c>
      <c r="C3">
        <f>($F$1*B2)+((1-$F$1)*C2)</f>
        <v>49</v>
      </c>
    </row>
    <row r="4" spans="1:6" x14ac:dyDescent="0.35">
      <c r="A4" s="3">
        <v>44895</v>
      </c>
      <c r="B4">
        <v>1917</v>
      </c>
      <c r="C4" s="13">
        <f>($F$1*B3)+((1-$F$1)*C3)</f>
        <v>1229.8999999999999</v>
      </c>
    </row>
    <row r="5" spans="1:6" x14ac:dyDescent="0.35">
      <c r="A5" s="3">
        <v>44926</v>
      </c>
      <c r="B5">
        <v>1057</v>
      </c>
      <c r="C5" s="13">
        <f t="shared" ref="C5:C23" si="0">($F$1*B4)+((1-$F$1)*C4)</f>
        <v>1710.87</v>
      </c>
    </row>
    <row r="6" spans="1:6" x14ac:dyDescent="0.35">
      <c r="A6" s="3">
        <v>44957</v>
      </c>
      <c r="B6">
        <v>1748</v>
      </c>
      <c r="C6" s="13">
        <f t="shared" si="0"/>
        <v>1253.1610000000001</v>
      </c>
      <c r="E6" t="s">
        <v>30</v>
      </c>
      <c r="F6" t="s">
        <v>34</v>
      </c>
    </row>
    <row r="7" spans="1:6" x14ac:dyDescent="0.35">
      <c r="A7" s="3">
        <v>44985</v>
      </c>
      <c r="B7">
        <v>1389</v>
      </c>
      <c r="C7" s="13">
        <f t="shared" si="0"/>
        <v>1599.5482999999999</v>
      </c>
      <c r="E7" s="3">
        <v>44834</v>
      </c>
      <c r="F7" s="5">
        <f>SUM(C2:C5)</f>
        <v>3038.7699999999995</v>
      </c>
    </row>
    <row r="8" spans="1:6" x14ac:dyDescent="0.35">
      <c r="A8" s="3">
        <v>45016</v>
      </c>
      <c r="B8">
        <v>1739</v>
      </c>
      <c r="C8" s="13">
        <f t="shared" si="0"/>
        <v>1452.1644900000001</v>
      </c>
      <c r="E8" s="3">
        <v>44865</v>
      </c>
      <c r="F8" s="5">
        <f>SUM(C3:C6)</f>
        <v>4242.9309999999996</v>
      </c>
    </row>
    <row r="9" spans="1:6" x14ac:dyDescent="0.35">
      <c r="A9" s="3">
        <v>45046</v>
      </c>
      <c r="B9">
        <v>1074</v>
      </c>
      <c r="C9" s="13">
        <f t="shared" si="0"/>
        <v>1652.949347</v>
      </c>
      <c r="E9" s="3">
        <v>44895</v>
      </c>
      <c r="F9" s="5">
        <f t="shared" ref="F9:F12" si="1">SUM(C4:C7)</f>
        <v>5793.4792999999991</v>
      </c>
    </row>
    <row r="10" spans="1:6" x14ac:dyDescent="0.35">
      <c r="A10" s="3">
        <v>45077</v>
      </c>
      <c r="B10">
        <v>1507</v>
      </c>
      <c r="C10" s="13">
        <f t="shared" si="0"/>
        <v>1247.6848041000001</v>
      </c>
      <c r="E10" s="3">
        <v>44926</v>
      </c>
      <c r="F10" s="5">
        <f t="shared" si="1"/>
        <v>6015.7437899999995</v>
      </c>
    </row>
    <row r="11" spans="1:6" x14ac:dyDescent="0.35">
      <c r="A11" s="3">
        <v>45107</v>
      </c>
      <c r="B11">
        <v>1329</v>
      </c>
      <c r="C11" s="13">
        <f t="shared" si="0"/>
        <v>1429.2054412299999</v>
      </c>
      <c r="E11" s="3">
        <v>44957</v>
      </c>
      <c r="F11" s="5">
        <f t="shared" si="1"/>
        <v>5957.8231369999994</v>
      </c>
    </row>
    <row r="12" spans="1:6" x14ac:dyDescent="0.35">
      <c r="A12" s="3">
        <v>45138</v>
      </c>
      <c r="B12">
        <v>1264</v>
      </c>
      <c r="C12" s="13">
        <f t="shared" si="0"/>
        <v>1359.0616323690001</v>
      </c>
      <c r="E12" s="3">
        <v>44985</v>
      </c>
      <c r="F12" s="5">
        <f t="shared" si="1"/>
        <v>5952.3469411000005</v>
      </c>
    </row>
    <row r="13" spans="1:6" x14ac:dyDescent="0.35">
      <c r="A13" s="3">
        <v>45169</v>
      </c>
      <c r="B13">
        <v>1677</v>
      </c>
      <c r="C13" s="13">
        <f t="shared" si="0"/>
        <v>1292.5184897107001</v>
      </c>
      <c r="E13" s="3">
        <v>45016</v>
      </c>
      <c r="F13" s="5">
        <f t="shared" ref="F13:F26" si="2">SUM(C8:C11)</f>
        <v>5782.0040823300005</v>
      </c>
    </row>
    <row r="14" spans="1:6" x14ac:dyDescent="0.35">
      <c r="A14" s="3">
        <v>45199</v>
      </c>
      <c r="B14">
        <v>1981</v>
      </c>
      <c r="C14" s="13">
        <f t="shared" si="0"/>
        <v>1561.6555469132099</v>
      </c>
      <c r="E14" s="3">
        <v>45046</v>
      </c>
      <c r="F14" s="5">
        <f t="shared" si="2"/>
        <v>5688.9012246989996</v>
      </c>
    </row>
    <row r="15" spans="1:6" x14ac:dyDescent="0.35">
      <c r="A15" s="3">
        <v>45230</v>
      </c>
      <c r="B15">
        <v>2236</v>
      </c>
      <c r="C15" s="13">
        <f t="shared" si="0"/>
        <v>1855.1966640739629</v>
      </c>
      <c r="E15" s="3">
        <v>45077</v>
      </c>
      <c r="F15" s="5">
        <f t="shared" si="2"/>
        <v>5328.4703674097</v>
      </c>
    </row>
    <row r="16" spans="1:6" x14ac:dyDescent="0.35">
      <c r="A16" s="3">
        <v>45260</v>
      </c>
      <c r="B16">
        <v>7135</v>
      </c>
      <c r="C16" s="13">
        <f t="shared" si="0"/>
        <v>2121.7589992221888</v>
      </c>
      <c r="E16" s="3">
        <v>45107</v>
      </c>
      <c r="F16" s="5">
        <f t="shared" si="2"/>
        <v>5642.4411102229096</v>
      </c>
    </row>
    <row r="17" spans="1:6" x14ac:dyDescent="0.35">
      <c r="A17" s="3">
        <v>45291</v>
      </c>
      <c r="B17">
        <v>7772</v>
      </c>
      <c r="C17" s="13">
        <f t="shared" si="0"/>
        <v>5631.027699766657</v>
      </c>
      <c r="E17" s="3">
        <v>45138</v>
      </c>
      <c r="F17" s="5">
        <f t="shared" si="2"/>
        <v>6068.4323330668731</v>
      </c>
    </row>
    <row r="18" spans="1:6" x14ac:dyDescent="0.35">
      <c r="A18" s="3">
        <v>45322</v>
      </c>
      <c r="B18">
        <v>6590</v>
      </c>
      <c r="C18" s="13">
        <f t="shared" si="0"/>
        <v>7129.7083099299971</v>
      </c>
      <c r="E18" s="3">
        <v>45169</v>
      </c>
      <c r="F18" s="5">
        <f t="shared" si="2"/>
        <v>6831.1296999200622</v>
      </c>
    </row>
    <row r="19" spans="1:6" x14ac:dyDescent="0.35">
      <c r="A19" s="3">
        <v>45351</v>
      </c>
      <c r="B19">
        <v>3629</v>
      </c>
      <c r="C19" s="13">
        <f t="shared" si="0"/>
        <v>6751.9124929789996</v>
      </c>
      <c r="E19" s="3">
        <v>45199</v>
      </c>
      <c r="F19" s="5">
        <f t="shared" si="2"/>
        <v>11169.638909976018</v>
      </c>
    </row>
    <row r="20" spans="1:6" x14ac:dyDescent="0.35">
      <c r="A20" s="3">
        <v>45382</v>
      </c>
      <c r="B20">
        <v>3105</v>
      </c>
      <c r="C20" s="13">
        <f t="shared" si="0"/>
        <v>4565.8737478937001</v>
      </c>
      <c r="E20" s="3">
        <v>45230</v>
      </c>
      <c r="F20" s="5">
        <f t="shared" si="2"/>
        <v>16737.691672992805</v>
      </c>
    </row>
    <row r="21" spans="1:6" x14ac:dyDescent="0.35">
      <c r="A21" s="3">
        <v>45412</v>
      </c>
      <c r="B21">
        <v>2894</v>
      </c>
      <c r="C21" s="13">
        <f t="shared" si="0"/>
        <v>3543.2621243681101</v>
      </c>
      <c r="E21" s="3">
        <v>45260</v>
      </c>
      <c r="F21" s="5">
        <f t="shared" si="2"/>
        <v>21634.40750189784</v>
      </c>
    </row>
    <row r="22" spans="1:6" x14ac:dyDescent="0.35">
      <c r="A22" s="3">
        <v>45443</v>
      </c>
      <c r="C22" s="13">
        <f t="shared" si="0"/>
        <v>3088.7786373104332</v>
      </c>
      <c r="E22" s="3">
        <v>45291</v>
      </c>
      <c r="F22" s="5">
        <f t="shared" si="2"/>
        <v>24078.522250569356</v>
      </c>
    </row>
    <row r="23" spans="1:6" x14ac:dyDescent="0.35">
      <c r="A23" s="3">
        <v>45473</v>
      </c>
      <c r="C23" s="13">
        <f t="shared" si="0"/>
        <v>926.63359119313009</v>
      </c>
      <c r="E23" s="3">
        <v>45322</v>
      </c>
      <c r="F23" s="5">
        <f t="shared" si="2"/>
        <v>21990.756675170807</v>
      </c>
    </row>
    <row r="24" spans="1:6" x14ac:dyDescent="0.35">
      <c r="E24" s="3">
        <v>45351</v>
      </c>
      <c r="F24" s="5">
        <f t="shared" si="2"/>
        <v>17949.827002551243</v>
      </c>
    </row>
    <row r="25" spans="1:6" x14ac:dyDescent="0.35">
      <c r="E25" s="3">
        <f>'Exp Smoothing - Purple'!$G$80</f>
        <v>45382</v>
      </c>
      <c r="F25" s="5">
        <f t="shared" si="2"/>
        <v>12124.548100765373</v>
      </c>
    </row>
    <row r="26" spans="1:6" x14ac:dyDescent="0.35">
      <c r="E26" s="3">
        <v>45412</v>
      </c>
      <c r="F26" s="5">
        <f t="shared" si="2"/>
        <v>7558.6743528716734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F26"/>
  <sheetViews>
    <sheetView topLeftCell="A7" workbookViewId="0">
      <selection activeCell="B22" sqref="B22"/>
    </sheetView>
  </sheetViews>
  <sheetFormatPr defaultRowHeight="14.5" x14ac:dyDescent="0.35"/>
  <cols>
    <col min="1" max="1" width="10.453125" bestFit="1" customWidth="1"/>
    <col min="5" max="5" width="10.453125" bestFit="1" customWidth="1"/>
  </cols>
  <sheetData>
    <row r="1" spans="1:6" x14ac:dyDescent="0.35">
      <c r="A1" t="s">
        <v>3</v>
      </c>
      <c r="B1" s="1" t="s">
        <v>4</v>
      </c>
      <c r="C1" t="s">
        <v>29</v>
      </c>
      <c r="E1" t="s">
        <v>28</v>
      </c>
      <c r="F1">
        <v>0.7</v>
      </c>
    </row>
    <row r="2" spans="1:6" x14ac:dyDescent="0.35">
      <c r="A2" s="3">
        <v>44834</v>
      </c>
      <c r="B2">
        <v>47</v>
      </c>
      <c r="C2">
        <v>47</v>
      </c>
    </row>
    <row r="3" spans="1:6" x14ac:dyDescent="0.35">
      <c r="A3" s="3">
        <v>44865</v>
      </c>
      <c r="B3">
        <v>1388</v>
      </c>
      <c r="C3">
        <f>($F$1*B2)+((1-$F$1)*C2)</f>
        <v>47</v>
      </c>
    </row>
    <row r="4" spans="1:6" x14ac:dyDescent="0.35">
      <c r="A4" s="3">
        <v>44895</v>
      </c>
      <c r="B4">
        <v>1550</v>
      </c>
      <c r="C4" s="13">
        <f>($F$1*B3)+((1-$F$1)*C3)</f>
        <v>985.69999999999993</v>
      </c>
    </row>
    <row r="5" spans="1:6" x14ac:dyDescent="0.35">
      <c r="A5" s="3">
        <v>44926</v>
      </c>
      <c r="B5">
        <v>886</v>
      </c>
      <c r="C5" s="13">
        <f t="shared" ref="C5:C23" si="0">($F$1*B4)+((1-$F$1)*C4)</f>
        <v>1380.71</v>
      </c>
    </row>
    <row r="6" spans="1:6" x14ac:dyDescent="0.35">
      <c r="A6" s="3">
        <v>44957</v>
      </c>
      <c r="B6">
        <v>1773</v>
      </c>
      <c r="C6" s="13">
        <f t="shared" si="0"/>
        <v>1034.413</v>
      </c>
      <c r="E6" t="s">
        <v>32</v>
      </c>
      <c r="F6" t="s">
        <v>33</v>
      </c>
    </row>
    <row r="7" spans="1:6" x14ac:dyDescent="0.35">
      <c r="A7" s="3">
        <v>44985</v>
      </c>
      <c r="B7">
        <v>1246</v>
      </c>
      <c r="C7" s="13">
        <f t="shared" si="0"/>
        <v>1551.4239</v>
      </c>
      <c r="E7" s="3">
        <v>44834</v>
      </c>
      <c r="F7" s="5">
        <f>SUM(C2:C5)</f>
        <v>2460.41</v>
      </c>
    </row>
    <row r="8" spans="1:6" x14ac:dyDescent="0.35">
      <c r="A8" s="3">
        <v>45016</v>
      </c>
      <c r="B8">
        <v>1597</v>
      </c>
      <c r="C8" s="13">
        <f t="shared" si="0"/>
        <v>1337.62717</v>
      </c>
      <c r="E8" s="3">
        <v>44865</v>
      </c>
      <c r="F8" s="5">
        <f>SUM(C3:C6)</f>
        <v>3447.8229999999999</v>
      </c>
    </row>
    <row r="9" spans="1:6" x14ac:dyDescent="0.35">
      <c r="A9" s="3">
        <v>45046</v>
      </c>
      <c r="B9">
        <v>1042</v>
      </c>
      <c r="C9" s="13">
        <f t="shared" si="0"/>
        <v>1519.1881509999998</v>
      </c>
      <c r="E9" s="3">
        <v>44895</v>
      </c>
      <c r="F9" s="5">
        <f t="shared" ref="F9:F12" si="1">SUM(C4:C7)</f>
        <v>4952.2469000000001</v>
      </c>
    </row>
    <row r="10" spans="1:6" x14ac:dyDescent="0.35">
      <c r="A10" s="3">
        <v>45077</v>
      </c>
      <c r="B10">
        <v>1298</v>
      </c>
      <c r="C10" s="13">
        <f t="shared" si="0"/>
        <v>1185.1564453000001</v>
      </c>
      <c r="E10" s="3">
        <v>44926</v>
      </c>
      <c r="F10" s="5">
        <f t="shared" si="1"/>
        <v>5304.17407</v>
      </c>
    </row>
    <row r="11" spans="1:6" x14ac:dyDescent="0.35">
      <c r="A11" s="3">
        <v>45107</v>
      </c>
      <c r="B11">
        <v>1322</v>
      </c>
      <c r="C11" s="13">
        <f t="shared" si="0"/>
        <v>1264.1469335900001</v>
      </c>
      <c r="E11" s="3">
        <v>44957</v>
      </c>
      <c r="F11" s="5">
        <f t="shared" si="1"/>
        <v>5442.6522210000003</v>
      </c>
    </row>
    <row r="12" spans="1:6" x14ac:dyDescent="0.35">
      <c r="A12" s="3">
        <v>45138</v>
      </c>
      <c r="B12">
        <v>1187</v>
      </c>
      <c r="C12" s="13">
        <f t="shared" si="0"/>
        <v>1304.6440800770001</v>
      </c>
      <c r="E12" s="3">
        <v>44985</v>
      </c>
      <c r="F12" s="5">
        <f t="shared" si="1"/>
        <v>5593.3956662999999</v>
      </c>
    </row>
    <row r="13" spans="1:6" x14ac:dyDescent="0.35">
      <c r="A13" s="3">
        <v>45169</v>
      </c>
      <c r="B13">
        <v>3281</v>
      </c>
      <c r="C13" s="13">
        <f t="shared" si="0"/>
        <v>1222.2932240231</v>
      </c>
      <c r="E13" s="3">
        <v>45016</v>
      </c>
      <c r="F13" s="5">
        <f t="shared" ref="F13:F26" si="2">SUM(C8:C11)</f>
        <v>5306.1186998900002</v>
      </c>
    </row>
    <row r="14" spans="1:6" x14ac:dyDescent="0.35">
      <c r="A14" s="3">
        <v>45199</v>
      </c>
      <c r="B14">
        <v>1737</v>
      </c>
      <c r="C14" s="13">
        <f t="shared" si="0"/>
        <v>2663.3879672069297</v>
      </c>
      <c r="E14" s="3">
        <v>45046</v>
      </c>
      <c r="F14" s="5">
        <f t="shared" si="2"/>
        <v>5273.1356099670002</v>
      </c>
    </row>
    <row r="15" spans="1:6" x14ac:dyDescent="0.35">
      <c r="A15" s="3">
        <v>45230</v>
      </c>
      <c r="B15">
        <v>1884</v>
      </c>
      <c r="C15" s="13">
        <f t="shared" si="0"/>
        <v>2014.9163901620789</v>
      </c>
      <c r="E15" s="3">
        <v>45077</v>
      </c>
      <c r="F15" s="5">
        <f t="shared" si="2"/>
        <v>4976.2406829901001</v>
      </c>
    </row>
    <row r="16" spans="1:6" x14ac:dyDescent="0.35">
      <c r="A16" s="3">
        <v>45260</v>
      </c>
      <c r="B16">
        <v>7249</v>
      </c>
      <c r="C16" s="13">
        <f t="shared" si="0"/>
        <v>1923.2749170486236</v>
      </c>
      <c r="E16" s="3">
        <v>45107</v>
      </c>
      <c r="F16" s="5">
        <f t="shared" si="2"/>
        <v>6454.4722048970298</v>
      </c>
    </row>
    <row r="17" spans="1:6" x14ac:dyDescent="0.35">
      <c r="A17" s="3">
        <v>45291</v>
      </c>
      <c r="B17">
        <v>7573</v>
      </c>
      <c r="C17" s="13">
        <f t="shared" si="0"/>
        <v>5651.2824751145863</v>
      </c>
      <c r="E17" s="3">
        <v>45138</v>
      </c>
      <c r="F17" s="5">
        <f t="shared" si="2"/>
        <v>7205.2416614691083</v>
      </c>
    </row>
    <row r="18" spans="1:6" x14ac:dyDescent="0.35">
      <c r="A18" s="3">
        <v>45322</v>
      </c>
      <c r="B18">
        <v>5997</v>
      </c>
      <c r="C18" s="13">
        <f t="shared" si="0"/>
        <v>6996.484742534376</v>
      </c>
      <c r="E18" s="3">
        <v>45169</v>
      </c>
      <c r="F18" s="5">
        <f t="shared" si="2"/>
        <v>7823.8724984407327</v>
      </c>
    </row>
    <row r="19" spans="1:6" x14ac:dyDescent="0.35">
      <c r="A19" s="3">
        <v>45351</v>
      </c>
      <c r="B19">
        <v>3158</v>
      </c>
      <c r="C19" s="13">
        <f t="shared" si="0"/>
        <v>6296.8454227603124</v>
      </c>
      <c r="E19" s="3">
        <v>45199</v>
      </c>
      <c r="F19" s="5">
        <f t="shared" si="2"/>
        <v>12252.861749532218</v>
      </c>
    </row>
    <row r="20" spans="1:6" x14ac:dyDescent="0.35">
      <c r="A20" s="3">
        <v>45382</v>
      </c>
      <c r="B20">
        <v>2903</v>
      </c>
      <c r="C20" s="13">
        <f t="shared" si="0"/>
        <v>4099.6536268280943</v>
      </c>
      <c r="E20" s="3">
        <v>45230</v>
      </c>
      <c r="F20" s="5">
        <f t="shared" si="2"/>
        <v>16585.958524859663</v>
      </c>
    </row>
    <row r="21" spans="1:6" x14ac:dyDescent="0.35">
      <c r="A21" s="3">
        <v>45412</v>
      </c>
      <c r="B21">
        <v>2498</v>
      </c>
      <c r="C21" s="13">
        <f t="shared" si="0"/>
        <v>3261.9960880484286</v>
      </c>
      <c r="E21" s="3">
        <v>45260</v>
      </c>
      <c r="F21" s="5">
        <f t="shared" si="2"/>
        <v>20867.8875574579</v>
      </c>
    </row>
    <row r="22" spans="1:6" x14ac:dyDescent="0.35">
      <c r="A22" s="3">
        <v>45443</v>
      </c>
      <c r="C22" s="13">
        <f t="shared" si="0"/>
        <v>2727.1988264145284</v>
      </c>
      <c r="E22" s="3">
        <v>45291</v>
      </c>
      <c r="F22" s="5">
        <f t="shared" si="2"/>
        <v>23044.266267237366</v>
      </c>
    </row>
    <row r="23" spans="1:6" x14ac:dyDescent="0.35">
      <c r="A23" s="3">
        <v>45473</v>
      </c>
      <c r="C23" s="13">
        <f t="shared" si="0"/>
        <v>818.15964792435864</v>
      </c>
      <c r="E23" s="3">
        <v>45322</v>
      </c>
      <c r="F23" s="5">
        <f t="shared" si="2"/>
        <v>20654.97988017121</v>
      </c>
    </row>
    <row r="24" spans="1:6" x14ac:dyDescent="0.35">
      <c r="E24" s="3">
        <v>45351</v>
      </c>
      <c r="F24" s="5">
        <f t="shared" si="2"/>
        <v>16385.693964051363</v>
      </c>
    </row>
    <row r="25" spans="1:6" x14ac:dyDescent="0.35">
      <c r="E25" s="3">
        <f>'Exp Smoothing - Purple'!$G$80</f>
        <v>45382</v>
      </c>
      <c r="F25" s="5">
        <f t="shared" si="2"/>
        <v>10907.00818921541</v>
      </c>
    </row>
    <row r="26" spans="1:6" x14ac:dyDescent="0.35">
      <c r="E26" s="3">
        <v>45412</v>
      </c>
      <c r="F26" s="5">
        <f t="shared" si="2"/>
        <v>6807.354562387316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G60"/>
  <sheetViews>
    <sheetView topLeftCell="A6" zoomScaleNormal="100" workbookViewId="0">
      <selection activeCell="E19" sqref="E19"/>
    </sheetView>
  </sheetViews>
  <sheetFormatPr defaultRowHeight="14.5" x14ac:dyDescent="0.35"/>
  <cols>
    <col min="1" max="1" width="10.54296875" bestFit="1" customWidth="1"/>
    <col min="2" max="2" width="7.81640625" bestFit="1" customWidth="1"/>
    <col min="3" max="3" width="8" style="13" bestFit="1" customWidth="1"/>
    <col min="5" max="5" width="8.90625" customWidth="1"/>
    <col min="6" max="6" width="10.54296875" bestFit="1" customWidth="1"/>
  </cols>
  <sheetData>
    <row r="1" spans="1:7" x14ac:dyDescent="0.35">
      <c r="A1" t="s">
        <v>3</v>
      </c>
      <c r="B1" s="1" t="s">
        <v>4</v>
      </c>
      <c r="C1" s="13" t="s">
        <v>29</v>
      </c>
      <c r="E1" t="s">
        <v>28</v>
      </c>
      <c r="F1">
        <v>0.7</v>
      </c>
    </row>
    <row r="2" spans="1:7" x14ac:dyDescent="0.35">
      <c r="A2" s="3">
        <v>44926</v>
      </c>
      <c r="B2">
        <v>154</v>
      </c>
      <c r="C2" s="20">
        <v>154</v>
      </c>
    </row>
    <row r="3" spans="1:7" x14ac:dyDescent="0.35">
      <c r="A3" s="3">
        <v>44957</v>
      </c>
      <c r="B3">
        <v>197</v>
      </c>
      <c r="C3" s="13">
        <f>($F$1*B2)+((1-$F$1)*C2)</f>
        <v>154</v>
      </c>
    </row>
    <row r="4" spans="1:7" x14ac:dyDescent="0.35">
      <c r="A4" s="3">
        <v>44985</v>
      </c>
      <c r="B4">
        <v>151</v>
      </c>
      <c r="C4" s="13">
        <f t="shared" ref="C4:C20" si="0">($F$1*B3)+((1-$F$1)*C3)</f>
        <v>184.1</v>
      </c>
    </row>
    <row r="5" spans="1:7" x14ac:dyDescent="0.35">
      <c r="A5" s="3">
        <v>45016</v>
      </c>
      <c r="B5">
        <v>167</v>
      </c>
      <c r="C5" s="13">
        <f t="shared" si="0"/>
        <v>160.93</v>
      </c>
    </row>
    <row r="6" spans="1:7" x14ac:dyDescent="0.35">
      <c r="A6" s="3">
        <v>45046</v>
      </c>
      <c r="B6">
        <v>168</v>
      </c>
      <c r="C6" s="13">
        <f t="shared" si="0"/>
        <v>165.179</v>
      </c>
    </row>
    <row r="7" spans="1:7" x14ac:dyDescent="0.35">
      <c r="A7" s="3">
        <v>45077</v>
      </c>
      <c r="B7">
        <v>198</v>
      </c>
      <c r="C7" s="13">
        <f t="shared" si="0"/>
        <v>167.15370000000001</v>
      </c>
      <c r="F7" t="s">
        <v>32</v>
      </c>
      <c r="G7" t="s">
        <v>33</v>
      </c>
    </row>
    <row r="8" spans="1:7" x14ac:dyDescent="0.35">
      <c r="A8" s="3">
        <v>45107</v>
      </c>
      <c r="B8">
        <v>191</v>
      </c>
      <c r="C8" s="13">
        <f t="shared" si="0"/>
        <v>188.74611000000002</v>
      </c>
      <c r="F8" s="3">
        <v>44926</v>
      </c>
      <c r="G8" s="19">
        <f t="shared" ref="G8:G23" si="1">SUM(C2:C5)</f>
        <v>653.03</v>
      </c>
    </row>
    <row r="9" spans="1:7" x14ac:dyDescent="0.35">
      <c r="A9" s="3">
        <v>45138</v>
      </c>
      <c r="B9">
        <v>125</v>
      </c>
      <c r="C9" s="13">
        <f t="shared" si="0"/>
        <v>190.32383300000001</v>
      </c>
      <c r="F9" s="3">
        <v>44957</v>
      </c>
      <c r="G9" s="19">
        <f t="shared" si="1"/>
        <v>664.20900000000006</v>
      </c>
    </row>
    <row r="10" spans="1:7" x14ac:dyDescent="0.35">
      <c r="A10" s="3">
        <v>45169</v>
      </c>
      <c r="B10">
        <v>3281</v>
      </c>
      <c r="C10" s="13">
        <f t="shared" si="0"/>
        <v>144.59714990000001</v>
      </c>
      <c r="F10" s="3">
        <v>44985</v>
      </c>
      <c r="G10" s="19">
        <f t="shared" si="1"/>
        <v>677.3626999999999</v>
      </c>
    </row>
    <row r="11" spans="1:7" x14ac:dyDescent="0.35">
      <c r="A11" s="3">
        <v>45199</v>
      </c>
      <c r="B11">
        <v>474</v>
      </c>
      <c r="C11" s="13">
        <f t="shared" si="0"/>
        <v>2340.07914497</v>
      </c>
      <c r="F11" s="3">
        <v>45016</v>
      </c>
      <c r="G11" s="19">
        <f t="shared" si="1"/>
        <v>682.00881000000004</v>
      </c>
    </row>
    <row r="12" spans="1:7" x14ac:dyDescent="0.35">
      <c r="A12" s="3">
        <v>45230</v>
      </c>
      <c r="B12" s="17">
        <v>402</v>
      </c>
      <c r="C12" s="13">
        <f t="shared" si="0"/>
        <v>1033.8237434910002</v>
      </c>
      <c r="F12" s="3">
        <v>45046</v>
      </c>
      <c r="G12" s="19">
        <f t="shared" si="1"/>
        <v>711.40264300000013</v>
      </c>
    </row>
    <row r="13" spans="1:7" x14ac:dyDescent="0.35">
      <c r="A13" s="3">
        <v>45260</v>
      </c>
      <c r="B13" s="17">
        <v>364</v>
      </c>
      <c r="C13" s="13">
        <f t="shared" si="0"/>
        <v>591.54712304730015</v>
      </c>
      <c r="F13" s="3">
        <v>45077</v>
      </c>
      <c r="G13" s="19">
        <f t="shared" si="1"/>
        <v>690.82079290000001</v>
      </c>
    </row>
    <row r="14" spans="1:7" x14ac:dyDescent="0.35">
      <c r="A14" s="3">
        <v>45291</v>
      </c>
      <c r="B14" s="17">
        <v>437</v>
      </c>
      <c r="C14" s="13">
        <f t="shared" si="0"/>
        <v>432.26413691419009</v>
      </c>
      <c r="F14" s="3">
        <v>45107</v>
      </c>
      <c r="G14" s="19">
        <f t="shared" si="1"/>
        <v>2863.7462378700002</v>
      </c>
    </row>
    <row r="15" spans="1:7" x14ac:dyDescent="0.35">
      <c r="A15" s="3">
        <v>45322</v>
      </c>
      <c r="B15" s="17">
        <v>538</v>
      </c>
      <c r="C15" s="13">
        <f t="shared" si="0"/>
        <v>435.57924107425703</v>
      </c>
      <c r="F15" s="3">
        <v>45138</v>
      </c>
      <c r="G15" s="19">
        <f t="shared" si="1"/>
        <v>3708.8238713610003</v>
      </c>
    </row>
    <row r="16" spans="1:7" x14ac:dyDescent="0.35">
      <c r="A16" s="3">
        <v>45351</v>
      </c>
      <c r="B16" s="17">
        <v>165</v>
      </c>
      <c r="C16" s="13">
        <f t="shared" si="0"/>
        <v>507.27377232227707</v>
      </c>
      <c r="F16" s="3">
        <v>45169</v>
      </c>
      <c r="G16" s="19">
        <f t="shared" si="1"/>
        <v>4110.0471614083008</v>
      </c>
    </row>
    <row r="17" spans="1:7" x14ac:dyDescent="0.35">
      <c r="A17" s="3">
        <v>45382</v>
      </c>
      <c r="B17" s="17">
        <v>0</v>
      </c>
      <c r="C17" s="13">
        <f t="shared" si="0"/>
        <v>267.68213169668314</v>
      </c>
      <c r="F17" s="3">
        <v>45199</v>
      </c>
      <c r="G17" s="19">
        <f t="shared" si="1"/>
        <v>4397.7141484224903</v>
      </c>
    </row>
    <row r="18" spans="1:7" x14ac:dyDescent="0.35">
      <c r="A18" s="3">
        <v>45412</v>
      </c>
      <c r="B18" s="17">
        <v>0</v>
      </c>
      <c r="C18" s="13">
        <f t="shared" si="0"/>
        <v>80.304639509004957</v>
      </c>
      <c r="F18" s="3">
        <v>45230</v>
      </c>
      <c r="G18" s="19">
        <f t="shared" si="1"/>
        <v>2493.2142445267473</v>
      </c>
    </row>
    <row r="19" spans="1:7" x14ac:dyDescent="0.35">
      <c r="A19" s="3">
        <v>45443</v>
      </c>
      <c r="B19" s="17"/>
      <c r="C19" s="13">
        <f t="shared" si="0"/>
        <v>24.091391852701491</v>
      </c>
      <c r="F19" s="3">
        <v>45260</v>
      </c>
      <c r="G19" s="19">
        <f t="shared" si="1"/>
        <v>1966.6642733580243</v>
      </c>
    </row>
    <row r="20" spans="1:7" x14ac:dyDescent="0.35">
      <c r="A20" s="3">
        <v>45473</v>
      </c>
      <c r="B20" s="17"/>
      <c r="C20" s="13">
        <f t="shared" si="0"/>
        <v>7.2274175558104483</v>
      </c>
      <c r="F20" s="3">
        <v>45291</v>
      </c>
      <c r="G20" s="19">
        <f t="shared" si="1"/>
        <v>1642.7992820074076</v>
      </c>
    </row>
    <row r="21" spans="1:7" x14ac:dyDescent="0.35">
      <c r="A21" s="3"/>
      <c r="B21" s="17"/>
      <c r="C21" s="18"/>
      <c r="F21" s="3">
        <v>45322</v>
      </c>
      <c r="G21" s="19">
        <f t="shared" si="1"/>
        <v>1290.8397846022224</v>
      </c>
    </row>
    <row r="22" spans="1:7" x14ac:dyDescent="0.35">
      <c r="A22" s="3"/>
      <c r="B22" s="17"/>
      <c r="C22" s="18"/>
      <c r="F22" s="3">
        <v>45351</v>
      </c>
      <c r="G22" s="19">
        <f t="shared" si="1"/>
        <v>879.35193538066653</v>
      </c>
    </row>
    <row r="23" spans="1:7" x14ac:dyDescent="0.35">
      <c r="A23" s="3"/>
      <c r="B23" s="17"/>
      <c r="C23" s="18"/>
      <c r="F23" s="3">
        <v>45382</v>
      </c>
      <c r="G23" s="19">
        <f t="shared" si="1"/>
        <v>379.30558061420004</v>
      </c>
    </row>
    <row r="24" spans="1:7" x14ac:dyDescent="0.35">
      <c r="A24" s="3"/>
      <c r="B24" s="17"/>
      <c r="C24" s="18"/>
      <c r="F24" s="3">
        <v>45412</v>
      </c>
      <c r="G24" s="19">
        <f t="shared" ref="G24" si="2">SUM(C18:C21)</f>
        <v>111.6234489175169</v>
      </c>
    </row>
    <row r="25" spans="1:7" x14ac:dyDescent="0.35">
      <c r="A25" s="3"/>
      <c r="B25" s="17"/>
      <c r="C25" s="18"/>
      <c r="F25" s="3"/>
      <c r="G25" s="5"/>
    </row>
    <row r="26" spans="1:7" x14ac:dyDescent="0.35">
      <c r="A26" s="3"/>
      <c r="B26" s="17"/>
      <c r="C26" s="18"/>
      <c r="F26" s="3"/>
      <c r="G26" s="5"/>
    </row>
    <row r="27" spans="1:7" x14ac:dyDescent="0.35">
      <c r="A27" s="3"/>
      <c r="B27" s="17"/>
      <c r="C27" s="18"/>
      <c r="F27" s="3"/>
      <c r="G27" s="5"/>
    </row>
    <row r="28" spans="1:7" x14ac:dyDescent="0.35">
      <c r="A28" s="3"/>
      <c r="B28" s="17"/>
      <c r="C28" s="18"/>
      <c r="F28" s="3"/>
      <c r="G28" s="5"/>
    </row>
    <row r="29" spans="1:7" x14ac:dyDescent="0.35">
      <c r="A29" s="3"/>
      <c r="B29" s="17"/>
      <c r="C29" s="18"/>
      <c r="F29" s="3"/>
      <c r="G29" s="5"/>
    </row>
    <row r="30" spans="1:7" x14ac:dyDescent="0.35">
      <c r="A30" s="3"/>
      <c r="B30" s="17"/>
      <c r="C30" s="18"/>
      <c r="F30" s="3"/>
      <c r="G30" s="5"/>
    </row>
    <row r="31" spans="1:7" x14ac:dyDescent="0.35">
      <c r="A31" s="3"/>
      <c r="B31" s="17"/>
      <c r="C31" s="18"/>
      <c r="F31" s="3"/>
      <c r="G31" s="5"/>
    </row>
    <row r="32" spans="1:7" x14ac:dyDescent="0.35">
      <c r="A32" s="3"/>
      <c r="C32" s="18"/>
      <c r="F32" s="3"/>
      <c r="G32" s="5"/>
    </row>
    <row r="33" spans="1:7" x14ac:dyDescent="0.35">
      <c r="A33" s="3"/>
      <c r="C33" s="18"/>
      <c r="F33" s="3"/>
      <c r="G33" s="5"/>
    </row>
    <row r="34" spans="1:7" x14ac:dyDescent="0.35">
      <c r="A34" s="3"/>
      <c r="C34" s="18"/>
      <c r="F34" s="3"/>
      <c r="G34" s="5"/>
    </row>
    <row r="35" spans="1:7" x14ac:dyDescent="0.35">
      <c r="A35" s="3"/>
      <c r="C35" s="18"/>
      <c r="F35" s="3"/>
      <c r="G35" s="5"/>
    </row>
    <row r="36" spans="1:7" x14ac:dyDescent="0.35">
      <c r="A36" s="3"/>
      <c r="C36" s="18"/>
      <c r="F36" s="3"/>
      <c r="G36" s="5"/>
    </row>
    <row r="37" spans="1:7" x14ac:dyDescent="0.35">
      <c r="A37" s="3"/>
      <c r="C37" s="18"/>
      <c r="F37" s="3"/>
      <c r="G37" s="5"/>
    </row>
    <row r="38" spans="1:7" x14ac:dyDescent="0.35">
      <c r="A38" s="3"/>
      <c r="C38" s="18"/>
    </row>
    <row r="39" spans="1:7" x14ac:dyDescent="0.35">
      <c r="A39" s="3"/>
      <c r="C39" s="18"/>
    </row>
    <row r="40" spans="1:7" x14ac:dyDescent="0.35">
      <c r="A40" s="3"/>
      <c r="C40" s="18"/>
    </row>
    <row r="41" spans="1:7" x14ac:dyDescent="0.35">
      <c r="A41" s="3"/>
      <c r="C41" s="18"/>
    </row>
    <row r="42" spans="1:7" x14ac:dyDescent="0.35">
      <c r="A42" s="3"/>
      <c r="C42" s="18"/>
    </row>
    <row r="43" spans="1:7" x14ac:dyDescent="0.35">
      <c r="A43" s="3"/>
      <c r="C43" s="18"/>
    </row>
    <row r="44" spans="1:7" x14ac:dyDescent="0.35">
      <c r="A44" s="3"/>
      <c r="C44" s="18"/>
    </row>
    <row r="45" spans="1:7" x14ac:dyDescent="0.35">
      <c r="A45" s="3"/>
      <c r="C45" s="18"/>
    </row>
    <row r="46" spans="1:7" x14ac:dyDescent="0.35">
      <c r="A46" s="3"/>
      <c r="C46" s="18"/>
    </row>
    <row r="47" spans="1:7" x14ac:dyDescent="0.35">
      <c r="A47" s="3"/>
      <c r="C47" s="18"/>
    </row>
    <row r="48" spans="1:7" x14ac:dyDescent="0.35">
      <c r="A48" s="3"/>
      <c r="C48" s="18"/>
    </row>
    <row r="49" spans="1:3" x14ac:dyDescent="0.35">
      <c r="A49" s="3"/>
      <c r="C49" s="18"/>
    </row>
    <row r="50" spans="1:3" x14ac:dyDescent="0.35">
      <c r="A50" s="3"/>
      <c r="C50" s="18"/>
    </row>
    <row r="51" spans="1:3" x14ac:dyDescent="0.35">
      <c r="A51" s="3"/>
      <c r="C51" s="18"/>
    </row>
    <row r="52" spans="1:3" x14ac:dyDescent="0.35">
      <c r="A52" s="3"/>
      <c r="C52" s="18"/>
    </row>
    <row r="53" spans="1:3" x14ac:dyDescent="0.35">
      <c r="A53" s="3"/>
      <c r="C53" s="18"/>
    </row>
    <row r="54" spans="1:3" x14ac:dyDescent="0.35">
      <c r="A54" s="3"/>
      <c r="C54" s="18"/>
    </row>
    <row r="55" spans="1:3" x14ac:dyDescent="0.35">
      <c r="A55" s="3"/>
      <c r="C55" s="18"/>
    </row>
    <row r="56" spans="1:3" x14ac:dyDescent="0.35">
      <c r="A56" s="3"/>
      <c r="C56" s="18"/>
    </row>
    <row r="57" spans="1:3" x14ac:dyDescent="0.35">
      <c r="A57" s="3"/>
      <c r="C57" s="18"/>
    </row>
    <row r="58" spans="1:3" x14ac:dyDescent="0.35">
      <c r="A58" s="3"/>
      <c r="C58" s="18"/>
    </row>
    <row r="59" spans="1:3" x14ac:dyDescent="0.35">
      <c r="A59" s="3"/>
      <c r="C59" s="18"/>
    </row>
    <row r="60" spans="1:3" x14ac:dyDescent="0.35">
      <c r="A60" s="3"/>
      <c r="C60" s="1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Seasonal - Orange</vt:lpstr>
      <vt:lpstr>Seasonal - Blue VISA</vt:lpstr>
      <vt:lpstr>Seasonal - Blue GPN</vt:lpstr>
      <vt:lpstr>Seasonal - Green</vt:lpstr>
      <vt:lpstr>Seasonal - Purple</vt:lpstr>
      <vt:lpstr>Forecast</vt:lpstr>
      <vt:lpstr>Exp Smoothing - Orange</vt:lpstr>
      <vt:lpstr>Pivot</vt:lpstr>
      <vt:lpstr>SES_Q_0.7</vt:lpstr>
      <vt:lpstr>SES_Q_Opt</vt:lpstr>
      <vt:lpstr>Naive_S_Q</vt:lpstr>
      <vt:lpstr>HWES_A_Q</vt:lpstr>
      <vt:lpstr>HWES_M_Q</vt:lpstr>
      <vt:lpstr>MA</vt:lpstr>
      <vt:lpstr>Summary Q</vt:lpstr>
      <vt:lpstr>HWES_A_Q__</vt:lpstr>
      <vt:lpstr>Notes</vt:lpstr>
      <vt:lpstr>Exp Smoothing - Orange Opt @</vt:lpstr>
      <vt:lpstr>Holt-Winters add 18</vt:lpstr>
      <vt:lpstr>Holt-Winters mult 18</vt:lpstr>
      <vt:lpstr>ARIMA</vt:lpstr>
      <vt:lpstr>Opening</vt:lpstr>
      <vt:lpstr>Summary</vt:lpstr>
      <vt:lpstr>Exp Smoothing - Blue VISA</vt:lpstr>
      <vt:lpstr>Exp Smoothing - Blue GPN</vt:lpstr>
      <vt:lpstr>Exp Smoothing - Green</vt:lpstr>
      <vt:lpstr>Exp Smoothing - Purple</vt:lpstr>
      <vt:lpstr>Exp CC Mystic</vt:lpstr>
      <vt:lpstr>Exp CC Deep</vt:lpstr>
      <vt:lpstr>Exp CC Rain</vt:lpstr>
      <vt:lpstr>Exp Smoothing - Green 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NOVANDRI LESMANA</dc:creator>
  <cp:lastModifiedBy>ALVIN ARIANTO PRADIPTA</cp:lastModifiedBy>
  <dcterms:created xsi:type="dcterms:W3CDTF">2020-09-28T12:22:42Z</dcterms:created>
  <dcterms:modified xsi:type="dcterms:W3CDTF">2024-05-26T15:07:23Z</dcterms:modified>
</cp:coreProperties>
</file>