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2060909\Documents\Task\CardStcok Forecast\"/>
    </mc:Choice>
  </mc:AlternateContent>
  <xr:revisionPtr revIDLastSave="0" documentId="8_{69F58140-B5EB-4E78-8957-0D0584A90529}" xr6:coauthVersionLast="47" xr6:coauthVersionMax="47" xr10:uidLastSave="{00000000-0000-0000-0000-000000000000}"/>
  <bookViews>
    <workbookView xWindow="-110" yWindow="-110" windowWidth="19420" windowHeight="10420" firstSheet="4" activeTab="7" xr2:uid="{12A312D9-A038-41D0-858B-926E2AF1F27A}"/>
  </bookViews>
  <sheets>
    <sheet name="Title" sheetId="9" r:id="rId1"/>
    <sheet name="Holt-Winters" sheetId="1" r:id="rId2"/>
    <sheet name="Holt-Winters 1" sheetId="2" r:id="rId3"/>
    <sheet name="Holt-Winters 2" sheetId="3" r:id="rId4"/>
    <sheet name="Holt-Winters 3" sheetId="4" r:id="rId5"/>
    <sheet name="Holt-Winters 4" sheetId="5" r:id="rId6"/>
    <sheet name="Holt-Winters 4a" sheetId="6" r:id="rId7"/>
    <sheet name="Holt-Winters 5" sheetId="7" r:id="rId8"/>
    <sheet name="Holt-Winters 6" sheetId="8" r:id="rId9"/>
  </sheets>
  <definedNames>
    <definedName name="DataRange">#REF!</definedName>
    <definedName name="solver_adj" localSheetId="3" hidden="1">'Holt-Winters 2'!$C$22:$E$22</definedName>
    <definedName name="solver_adj" localSheetId="5" hidden="1">'Holt-Winters 4'!$F$23:$H$23</definedName>
    <definedName name="solver_adj" localSheetId="6" hidden="1">'Holt-Winters 4a'!$F$23:$H$23</definedName>
    <definedName name="solver_adj" localSheetId="7" hidden="1">'Holt-Winters 5'!$F$26:$H$26</definedName>
    <definedName name="solver_adj" localSheetId="8" hidden="1">'Holt-Winters 6'!$F$30:$H$30</definedName>
    <definedName name="solver_cvg" localSheetId="3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6" hidden="1">2</definedName>
    <definedName name="solver_drv" localSheetId="7" hidden="1">2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3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6" hidden="1">2147483647</definedName>
    <definedName name="solver_itr" localSheetId="7" hidden="1">2147483647</definedName>
    <definedName name="solver_lhs1" localSheetId="3" hidden="1">'Holt-Winters 2'!$C$22</definedName>
    <definedName name="solver_lhs1" localSheetId="5" hidden="1">'Holt-Winters 4'!$F$23</definedName>
    <definedName name="solver_lhs1" localSheetId="6" hidden="1">'Holt-Winters 4a'!$F$23</definedName>
    <definedName name="solver_lhs1" localSheetId="7" hidden="1">'Holt-Winters 5'!$F$26</definedName>
    <definedName name="solver_lhs1" localSheetId="8" hidden="1">'Holt-Winters 6'!$F$30</definedName>
    <definedName name="solver_lhs2" localSheetId="3" hidden="1">'Holt-Winters 2'!$D$22</definedName>
    <definedName name="solver_lhs2" localSheetId="5" hidden="1">'Holt-Winters 4'!$G$23</definedName>
    <definedName name="solver_lhs2" localSheetId="6" hidden="1">'Holt-Winters 4a'!$G$23</definedName>
    <definedName name="solver_lhs2" localSheetId="7" hidden="1">'Holt-Winters 5'!$G$26</definedName>
    <definedName name="solver_lhs2" localSheetId="8" hidden="1">'Holt-Winters 6'!$G$30</definedName>
    <definedName name="solver_lhs3" localSheetId="3" hidden="1">'Holt-Winters 2'!$E$22</definedName>
    <definedName name="solver_lhs3" localSheetId="5" hidden="1">'Holt-Winters 4'!$H$23</definedName>
    <definedName name="solver_lhs3" localSheetId="6" hidden="1">'Holt-Winters 4a'!$H$23</definedName>
    <definedName name="solver_lhs3" localSheetId="7" hidden="1">'Holt-Winters 5'!$H$26</definedName>
    <definedName name="solver_lhs3" localSheetId="8" hidden="1">'Holt-Winters 6'!$H$30</definedName>
    <definedName name="solver_mip" localSheetId="3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6" hidden="1">2</definedName>
    <definedName name="solver_msl" localSheetId="7" hidden="1">2</definedName>
    <definedName name="solver_neg" localSheetId="2" hidden="1">1</definedName>
    <definedName name="solver_neg" localSheetId="3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3" hidden="1">2147483647</definedName>
    <definedName name="solver_nod" localSheetId="6" hidden="1">2147483647</definedName>
    <definedName name="solver_nod" localSheetId="7" hidden="1">2147483647</definedName>
    <definedName name="solver_num" localSheetId="2" hidden="1">0</definedName>
    <definedName name="solver_num" localSheetId="3" hidden="1">3</definedName>
    <definedName name="solver_num" localSheetId="4" hidden="1">0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wt" localSheetId="3" hidden="1">1</definedName>
    <definedName name="solver_nwt" localSheetId="6" hidden="1">1</definedName>
    <definedName name="solver_nwt" localSheetId="7" hidden="1">1</definedName>
    <definedName name="solver_opt" localSheetId="2" hidden="1">'Holt-Winters 1'!$A$1</definedName>
    <definedName name="solver_opt" localSheetId="3" hidden="1">'Holt-Winters 2'!$I$22</definedName>
    <definedName name="solver_opt" localSheetId="4" hidden="1">'Holt-Winters 3'!$P$24</definedName>
    <definedName name="solver_opt" localSheetId="5" hidden="1">'Holt-Winters 4'!$I$23</definedName>
    <definedName name="solver_opt" localSheetId="6" hidden="1">'Holt-Winters 4a'!$I$23</definedName>
    <definedName name="solver_opt" localSheetId="7" hidden="1">'Holt-Winters 5'!$J$26</definedName>
    <definedName name="solver_opt" localSheetId="8" hidden="1">'Holt-Winters 6'!$J$30</definedName>
    <definedName name="solver_pre" localSheetId="3" hidden="1">0.000001</definedName>
    <definedName name="solver_pre" localSheetId="6" hidden="1">0.000001</definedName>
    <definedName name="solver_pre" localSheetId="7" hidden="1">0.000001</definedName>
    <definedName name="solver_rbv" localSheetId="3" hidden="1">1</definedName>
    <definedName name="solver_rbv" localSheetId="6" hidden="1">2</definedName>
    <definedName name="solver_rbv" localSheetId="7" hidden="1">2</definedName>
    <definedName name="solver_rel1" localSheetId="3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2" localSheetId="3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3" localSheetId="3" hidden="1">1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hs1" localSheetId="3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2" localSheetId="3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hs3" localSheetId="3" hidden="1">1</definedName>
    <definedName name="solver_rhs3" localSheetId="5" hidden="1">1</definedName>
    <definedName name="solver_rhs3" localSheetId="6" hidden="1">1</definedName>
    <definedName name="solver_rhs3" localSheetId="7" hidden="1">1</definedName>
    <definedName name="solver_rhs3" localSheetId="8" hidden="1">1</definedName>
    <definedName name="solver_rlx" localSheetId="3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6" hidden="1">2</definedName>
    <definedName name="solver_scl" localSheetId="7" hidden="1">2</definedName>
    <definedName name="solver_sho" localSheetId="3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6" hidden="1">0.01</definedName>
    <definedName name="solver_tol" localSheetId="7" hidden="1">0.01</definedName>
    <definedName name="solver_typ" localSheetId="2" hidden="1">1</definedName>
    <definedName name="solver_typ" localSheetId="3" hidden="1">2</definedName>
    <definedName name="solver_typ" localSheetId="4" hidden="1">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8" l="1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I9" i="8" s="1"/>
  <c r="E9" i="8"/>
  <c r="F8" i="8"/>
  <c r="E8" i="8"/>
  <c r="F7" i="8"/>
  <c r="I7" i="8" s="1"/>
  <c r="E7" i="8"/>
  <c r="F6" i="8"/>
  <c r="I6" i="8" s="1"/>
  <c r="E6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F5" i="8"/>
  <c r="E5" i="8"/>
  <c r="A5" i="8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I6" i="7"/>
  <c r="F6" i="7"/>
  <c r="E6" i="7"/>
  <c r="F5" i="7"/>
  <c r="E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I4" i="7"/>
  <c r="F4" i="7"/>
  <c r="E4" i="7"/>
  <c r="F3" i="7"/>
  <c r="E3" i="7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A11" i="6"/>
  <c r="A12" i="6" s="1"/>
  <c r="A13" i="6" s="1"/>
  <c r="A14" i="6" s="1"/>
  <c r="A15" i="6" s="1"/>
  <c r="A16" i="6" s="1"/>
  <c r="A17" i="6" s="1"/>
  <c r="A18" i="6" s="1"/>
  <c r="A19" i="6" s="1"/>
  <c r="F10" i="6"/>
  <c r="E10" i="6"/>
  <c r="F9" i="6"/>
  <c r="E9" i="6"/>
  <c r="F8" i="6"/>
  <c r="E8" i="6"/>
  <c r="A8" i="6"/>
  <c r="A9" i="6" s="1"/>
  <c r="A10" i="6" s="1"/>
  <c r="F7" i="6"/>
  <c r="E7" i="6"/>
  <c r="F6" i="6"/>
  <c r="I6" i="6" s="1"/>
  <c r="E6" i="6"/>
  <c r="A6" i="6"/>
  <c r="A7" i="6" s="1"/>
  <c r="F5" i="6"/>
  <c r="I5" i="6" s="1"/>
  <c r="E5" i="6"/>
  <c r="A5" i="6"/>
  <c r="F4" i="6"/>
  <c r="E4" i="6"/>
  <c r="F3" i="6"/>
  <c r="E3" i="6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I4" i="5" s="1"/>
  <c r="E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F5" i="5"/>
  <c r="E5" i="5"/>
  <c r="A5" i="5"/>
  <c r="F4" i="5"/>
  <c r="E4" i="5"/>
  <c r="F3" i="5"/>
  <c r="E3" i="5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I7" i="4"/>
  <c r="F7" i="4"/>
  <c r="G7" i="4" s="1"/>
  <c r="E7" i="4"/>
  <c r="F6" i="4"/>
  <c r="I6" i="4" s="1"/>
  <c r="E6" i="4"/>
  <c r="F5" i="4"/>
  <c r="I5" i="4" s="1"/>
  <c r="E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F4" i="4"/>
  <c r="I4" i="4" s="1"/>
  <c r="E4" i="4"/>
  <c r="F3" i="4"/>
  <c r="E3" i="4"/>
  <c r="F7" i="3"/>
  <c r="F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F5" i="3"/>
  <c r="B5" i="3"/>
  <c r="F4" i="3"/>
  <c r="F7" i="2"/>
  <c r="F6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F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F4" i="2"/>
  <c r="F7" i="1"/>
  <c r="F6" i="1"/>
  <c r="F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F4" i="1"/>
  <c r="D8" i="2" l="1"/>
  <c r="I4" i="6"/>
  <c r="D7" i="1"/>
  <c r="G8" i="1" s="1"/>
  <c r="I7" i="6"/>
  <c r="I7" i="7"/>
  <c r="G9" i="8"/>
  <c r="H7" i="4"/>
  <c r="J8" i="4" s="1"/>
  <c r="I6" i="5"/>
  <c r="H7" i="5"/>
  <c r="H9" i="8"/>
  <c r="G10" i="8" s="1"/>
  <c r="D7" i="3"/>
  <c r="G8" i="3" s="1"/>
  <c r="I7" i="5"/>
  <c r="G7" i="5" s="1"/>
  <c r="I5" i="7"/>
  <c r="H7" i="7"/>
  <c r="G8" i="4"/>
  <c r="I8" i="4" s="1"/>
  <c r="H7" i="6"/>
  <c r="D8" i="3"/>
  <c r="D7" i="2"/>
  <c r="G8" i="2" s="1"/>
  <c r="I5" i="5"/>
  <c r="I8" i="8"/>
  <c r="J8" i="5" l="1"/>
  <c r="G8" i="5"/>
  <c r="I10" i="8"/>
  <c r="H10" i="8"/>
  <c r="G11" i="8" s="1"/>
  <c r="J11" i="8"/>
  <c r="E8" i="3"/>
  <c r="F8" i="3"/>
  <c r="G9" i="3"/>
  <c r="D9" i="3"/>
  <c r="I8" i="3"/>
  <c r="H8" i="3"/>
  <c r="F8" i="2"/>
  <c r="E8" i="2"/>
  <c r="G9" i="2"/>
  <c r="D9" i="2"/>
  <c r="J10" i="8"/>
  <c r="I8" i="1"/>
  <c r="H8" i="1"/>
  <c r="H8" i="4"/>
  <c r="J9" i="4" s="1"/>
  <c r="G7" i="6"/>
  <c r="N8" i="2"/>
  <c r="I8" i="2"/>
  <c r="H8" i="2"/>
  <c r="G7" i="7"/>
  <c r="D8" i="1"/>
  <c r="H11" i="8" l="1"/>
  <c r="J12" i="8"/>
  <c r="I11" i="8"/>
  <c r="G12" i="8"/>
  <c r="F9" i="2"/>
  <c r="E9" i="2"/>
  <c r="G10" i="2" s="1"/>
  <c r="G9" i="4"/>
  <c r="G10" i="3"/>
  <c r="F9" i="3"/>
  <c r="E9" i="3"/>
  <c r="D10" i="3"/>
  <c r="J8" i="6"/>
  <c r="G8" i="6"/>
  <c r="I9" i="3"/>
  <c r="H9" i="3"/>
  <c r="J9" i="5"/>
  <c r="H8" i="5"/>
  <c r="I8" i="5"/>
  <c r="G9" i="5"/>
  <c r="F8" i="1"/>
  <c r="E8" i="1"/>
  <c r="G9" i="1" s="1"/>
  <c r="D9" i="1"/>
  <c r="J8" i="7"/>
  <c r="G8" i="7"/>
  <c r="I9" i="2"/>
  <c r="N9" i="2"/>
  <c r="H9" i="2"/>
  <c r="K13" i="8"/>
  <c r="K12" i="8"/>
  <c r="K11" i="8"/>
  <c r="L11" i="8" s="1"/>
  <c r="N10" i="2" l="1"/>
  <c r="H10" i="2"/>
  <c r="I10" i="2"/>
  <c r="H9" i="1"/>
  <c r="I9" i="1"/>
  <c r="F10" i="3"/>
  <c r="E10" i="3"/>
  <c r="G11" i="3" s="1"/>
  <c r="D11" i="3"/>
  <c r="J13" i="8"/>
  <c r="I12" i="8"/>
  <c r="H12" i="8"/>
  <c r="G13" i="8" s="1"/>
  <c r="M11" i="8"/>
  <c r="G10" i="1"/>
  <c r="F9" i="1"/>
  <c r="E9" i="1"/>
  <c r="D10" i="1" s="1"/>
  <c r="I10" i="3"/>
  <c r="H10" i="3"/>
  <c r="M12" i="8"/>
  <c r="L12" i="8"/>
  <c r="H9" i="4"/>
  <c r="J10" i="4" s="1"/>
  <c r="I9" i="4"/>
  <c r="H8" i="7"/>
  <c r="J9" i="7" s="1"/>
  <c r="I8" i="7"/>
  <c r="G9" i="7"/>
  <c r="H8" i="6"/>
  <c r="G9" i="6" s="1"/>
  <c r="I8" i="6"/>
  <c r="D10" i="2"/>
  <c r="H9" i="5"/>
  <c r="J10" i="5"/>
  <c r="I9" i="5"/>
  <c r="G10" i="5"/>
  <c r="H9" i="6" l="1"/>
  <c r="J10" i="6" s="1"/>
  <c r="I9" i="6"/>
  <c r="H11" i="3"/>
  <c r="I11" i="3"/>
  <c r="F10" i="1"/>
  <c r="E10" i="1"/>
  <c r="D11" i="1" s="1"/>
  <c r="J14" i="8"/>
  <c r="H13" i="8"/>
  <c r="I13" i="8"/>
  <c r="G14" i="8"/>
  <c r="J9" i="6"/>
  <c r="L13" i="8"/>
  <c r="M13" i="8"/>
  <c r="K14" i="8"/>
  <c r="J11" i="5"/>
  <c r="H10" i="5"/>
  <c r="I10" i="5"/>
  <c r="G11" i="5"/>
  <c r="G10" i="4"/>
  <c r="H10" i="1"/>
  <c r="I10" i="1"/>
  <c r="E10" i="2"/>
  <c r="D11" i="2" s="1"/>
  <c r="G11" i="2"/>
  <c r="F10" i="2"/>
  <c r="H9" i="7"/>
  <c r="J10" i="7"/>
  <c r="G10" i="7"/>
  <c r="I9" i="7"/>
  <c r="F11" i="3"/>
  <c r="E11" i="3"/>
  <c r="G12" i="3"/>
  <c r="D12" i="3"/>
  <c r="F11" i="2" l="1"/>
  <c r="E11" i="2"/>
  <c r="G12" i="2" s="1"/>
  <c r="D12" i="2"/>
  <c r="F11" i="1"/>
  <c r="E11" i="1"/>
  <c r="D12" i="1" s="1"/>
  <c r="M14" i="8"/>
  <c r="L14" i="8"/>
  <c r="H10" i="7"/>
  <c r="J11" i="7" s="1"/>
  <c r="I10" i="7"/>
  <c r="G11" i="7"/>
  <c r="E12" i="3"/>
  <c r="G13" i="3" s="1"/>
  <c r="F12" i="3"/>
  <c r="J11" i="4"/>
  <c r="H10" i="4"/>
  <c r="G11" i="4" s="1"/>
  <c r="I10" i="4"/>
  <c r="K15" i="8"/>
  <c r="I14" i="8"/>
  <c r="H14" i="8"/>
  <c r="G15" i="8" s="1"/>
  <c r="J15" i="8"/>
  <c r="I12" i="3"/>
  <c r="H12" i="3"/>
  <c r="G11" i="1"/>
  <c r="N11" i="2"/>
  <c r="I11" i="2"/>
  <c r="H11" i="2"/>
  <c r="J12" i="5"/>
  <c r="I11" i="5"/>
  <c r="H11" i="5"/>
  <c r="G12" i="5"/>
  <c r="G10" i="6"/>
  <c r="F12" i="1" l="1"/>
  <c r="E12" i="1"/>
  <c r="G13" i="1" s="1"/>
  <c r="H11" i="4"/>
  <c r="J12" i="4"/>
  <c r="I11" i="4"/>
  <c r="G12" i="4"/>
  <c r="I13" i="3"/>
  <c r="H13" i="3"/>
  <c r="H15" i="8"/>
  <c r="J16" i="8" s="1"/>
  <c r="I15" i="8"/>
  <c r="N12" i="2"/>
  <c r="I12" i="2"/>
  <c r="H12" i="2"/>
  <c r="H10" i="6"/>
  <c r="J11" i="6" s="1"/>
  <c r="I10" i="6"/>
  <c r="J12" i="7"/>
  <c r="I11" i="7"/>
  <c r="H11" i="7"/>
  <c r="G12" i="7"/>
  <c r="F12" i="2"/>
  <c r="E12" i="2"/>
  <c r="D13" i="2" s="1"/>
  <c r="G13" i="2"/>
  <c r="M15" i="8"/>
  <c r="L15" i="8"/>
  <c r="D13" i="3"/>
  <c r="K16" i="8"/>
  <c r="I11" i="1"/>
  <c r="H11" i="1"/>
  <c r="G12" i="1"/>
  <c r="H12" i="5"/>
  <c r="G13" i="5" s="1"/>
  <c r="I12" i="5"/>
  <c r="H13" i="5" l="1"/>
  <c r="I13" i="5"/>
  <c r="J14" i="5"/>
  <c r="G14" i="5"/>
  <c r="G14" i="2"/>
  <c r="E13" i="2"/>
  <c r="F13" i="2"/>
  <c r="D14" i="2"/>
  <c r="I13" i="1"/>
  <c r="H13" i="1"/>
  <c r="M16" i="8"/>
  <c r="L16" i="8"/>
  <c r="K17" i="8"/>
  <c r="G11" i="6"/>
  <c r="I12" i="1"/>
  <c r="H12" i="1"/>
  <c r="I13" i="2"/>
  <c r="H13" i="2"/>
  <c r="N13" i="2"/>
  <c r="G16" i="8"/>
  <c r="J13" i="5"/>
  <c r="F13" i="3"/>
  <c r="E13" i="3"/>
  <c r="G14" i="3" s="1"/>
  <c r="D13" i="1"/>
  <c r="I12" i="7"/>
  <c r="H12" i="7"/>
  <c r="G13" i="7" s="1"/>
  <c r="J13" i="7"/>
  <c r="H12" i="4"/>
  <c r="G13" i="4" s="1"/>
  <c r="I12" i="4"/>
  <c r="H14" i="3" l="1"/>
  <c r="I14" i="3"/>
  <c r="I13" i="4"/>
  <c r="H13" i="4"/>
  <c r="J14" i="4" s="1"/>
  <c r="G14" i="4"/>
  <c r="H13" i="7"/>
  <c r="J14" i="7" s="1"/>
  <c r="I13" i="7"/>
  <c r="J13" i="4"/>
  <c r="G15" i="2"/>
  <c r="E14" i="2"/>
  <c r="D15" i="2" s="1"/>
  <c r="F14" i="2"/>
  <c r="D14" i="3"/>
  <c r="I14" i="2"/>
  <c r="H14" i="2"/>
  <c r="N14" i="2"/>
  <c r="J15" i="5"/>
  <c r="H14" i="5"/>
  <c r="G15" i="5" s="1"/>
  <c r="I14" i="5"/>
  <c r="I11" i="6"/>
  <c r="H11" i="6"/>
  <c r="J12" i="6" s="1"/>
  <c r="F13" i="1"/>
  <c r="E13" i="1"/>
  <c r="G14" i="1" s="1"/>
  <c r="J17" i="8"/>
  <c r="I16" i="8"/>
  <c r="H16" i="8"/>
  <c r="G17" i="8" s="1"/>
  <c r="I14" i="1" l="1"/>
  <c r="H14" i="1"/>
  <c r="G16" i="2"/>
  <c r="F15" i="2"/>
  <c r="E15" i="2"/>
  <c r="D16" i="2" s="1"/>
  <c r="H17" i="8"/>
  <c r="J18" i="8" s="1"/>
  <c r="I17" i="8"/>
  <c r="G18" i="8"/>
  <c r="J16" i="5"/>
  <c r="I15" i="5"/>
  <c r="H15" i="5"/>
  <c r="G16" i="5" s="1"/>
  <c r="I14" i="4"/>
  <c r="H14" i="4"/>
  <c r="J15" i="4"/>
  <c r="G15" i="4"/>
  <c r="L17" i="8"/>
  <c r="M17" i="8"/>
  <c r="K18" i="8"/>
  <c r="G12" i="6"/>
  <c r="D14" i="1"/>
  <c r="G14" i="7"/>
  <c r="H15" i="2"/>
  <c r="N15" i="2"/>
  <c r="I15" i="2"/>
  <c r="G15" i="3"/>
  <c r="F14" i="3"/>
  <c r="E14" i="3"/>
  <c r="D15" i="3" s="1"/>
  <c r="M18" i="8" l="1"/>
  <c r="L18" i="8"/>
  <c r="K19" i="8"/>
  <c r="F16" i="2"/>
  <c r="E16" i="2"/>
  <c r="D17" i="2" s="1"/>
  <c r="G17" i="2"/>
  <c r="G16" i="3"/>
  <c r="F15" i="3"/>
  <c r="E15" i="3"/>
  <c r="D16" i="3"/>
  <c r="H16" i="5"/>
  <c r="J17" i="5" s="1"/>
  <c r="I16" i="5"/>
  <c r="I20" i="5" s="1"/>
  <c r="H12" i="6"/>
  <c r="G13" i="6" s="1"/>
  <c r="I12" i="6"/>
  <c r="H15" i="3"/>
  <c r="I15" i="3"/>
  <c r="I18" i="8"/>
  <c r="I22" i="8" s="1"/>
  <c r="I26" i="8" s="1"/>
  <c r="H18" i="8"/>
  <c r="J19" i="8"/>
  <c r="G19" i="8"/>
  <c r="N16" i="2"/>
  <c r="H16" i="2"/>
  <c r="I16" i="2"/>
  <c r="J15" i="7"/>
  <c r="H14" i="7"/>
  <c r="I14" i="7"/>
  <c r="G15" i="7"/>
  <c r="E14" i="1"/>
  <c r="G15" i="1" s="1"/>
  <c r="F14" i="1"/>
  <c r="H15" i="4"/>
  <c r="J16" i="4"/>
  <c r="I15" i="4"/>
  <c r="G16" i="4"/>
  <c r="F17" i="2" l="1"/>
  <c r="E17" i="2"/>
  <c r="G18" i="2" s="1"/>
  <c r="D18" i="2"/>
  <c r="H13" i="6"/>
  <c r="G14" i="6" s="1"/>
  <c r="J14" i="6"/>
  <c r="I13" i="6"/>
  <c r="I15" i="1"/>
  <c r="H15" i="1"/>
  <c r="D15" i="1"/>
  <c r="J13" i="6"/>
  <c r="I16" i="3"/>
  <c r="H16" i="3"/>
  <c r="I17" i="2"/>
  <c r="N17" i="2"/>
  <c r="H17" i="2"/>
  <c r="G17" i="5"/>
  <c r="H19" i="8"/>
  <c r="J20" i="8" s="1"/>
  <c r="I19" i="8"/>
  <c r="I23" i="8" s="1"/>
  <c r="I27" i="8" s="1"/>
  <c r="M19" i="8"/>
  <c r="L19" i="8"/>
  <c r="K20" i="8"/>
  <c r="E16" i="3"/>
  <c r="G17" i="3" s="1"/>
  <c r="F16" i="3"/>
  <c r="H16" i="4"/>
  <c r="J17" i="4" s="1"/>
  <c r="I16" i="4"/>
  <c r="I20" i="4" s="1"/>
  <c r="I24" i="4" s="1"/>
  <c r="G17" i="4"/>
  <c r="J16" i="7"/>
  <c r="I15" i="7"/>
  <c r="H15" i="7"/>
  <c r="G16" i="7"/>
  <c r="M20" i="8" l="1"/>
  <c r="L20" i="8"/>
  <c r="K21" i="8"/>
  <c r="H14" i="6"/>
  <c r="J15" i="6" s="1"/>
  <c r="I14" i="6"/>
  <c r="I17" i="3"/>
  <c r="H17" i="3"/>
  <c r="N18" i="2"/>
  <c r="I18" i="2"/>
  <c r="H18" i="2"/>
  <c r="H17" i="4"/>
  <c r="J18" i="4" s="1"/>
  <c r="I17" i="4"/>
  <c r="I21" i="4" s="1"/>
  <c r="I25" i="4" s="1"/>
  <c r="D17" i="3"/>
  <c r="G20" i="8"/>
  <c r="H16" i="7"/>
  <c r="J17" i="7" s="1"/>
  <c r="I16" i="7"/>
  <c r="I20" i="7" s="1"/>
  <c r="H17" i="5"/>
  <c r="J18" i="5"/>
  <c r="I17" i="5"/>
  <c r="G18" i="5"/>
  <c r="E18" i="2"/>
  <c r="D19" i="2" s="1"/>
  <c r="G19" i="2"/>
  <c r="F18" i="2"/>
  <c r="E15" i="1"/>
  <c r="D16" i="1" s="1"/>
  <c r="F15" i="1"/>
  <c r="G16" i="1"/>
  <c r="F16" i="1" l="1"/>
  <c r="E16" i="1"/>
  <c r="G17" i="1" s="1"/>
  <c r="N22" i="2"/>
  <c r="N21" i="2"/>
  <c r="N23" i="2"/>
  <c r="N20" i="2"/>
  <c r="F19" i="2"/>
  <c r="E19" i="2"/>
  <c r="I16" i="1"/>
  <c r="H16" i="1"/>
  <c r="N19" i="2"/>
  <c r="G17" i="7"/>
  <c r="G18" i="4"/>
  <c r="J19" i="5"/>
  <c r="H18" i="5"/>
  <c r="I18" i="5"/>
  <c r="G19" i="5"/>
  <c r="H19" i="2"/>
  <c r="H22" i="2" s="1"/>
  <c r="I19" i="2"/>
  <c r="I22" i="2" s="1"/>
  <c r="G15" i="6"/>
  <c r="F17" i="3"/>
  <c r="E17" i="3"/>
  <c r="G18" i="3" s="1"/>
  <c r="D18" i="3"/>
  <c r="I20" i="8"/>
  <c r="I24" i="8" s="1"/>
  <c r="H20" i="8"/>
  <c r="J21" i="8" s="1"/>
  <c r="H17" i="1" l="1"/>
  <c r="I17" i="1"/>
  <c r="I18" i="3"/>
  <c r="H18" i="3"/>
  <c r="M21" i="8"/>
  <c r="L21" i="8"/>
  <c r="J30" i="8"/>
  <c r="I30" i="8"/>
  <c r="K30" i="8"/>
  <c r="K22" i="8"/>
  <c r="G21" i="8"/>
  <c r="I15" i="6"/>
  <c r="H15" i="6"/>
  <c r="J16" i="6" s="1"/>
  <c r="J19" i="4"/>
  <c r="H18" i="4"/>
  <c r="G19" i="4" s="1"/>
  <c r="I18" i="4"/>
  <c r="I22" i="4" s="1"/>
  <c r="H17" i="7"/>
  <c r="I17" i="7"/>
  <c r="I21" i="7" s="1"/>
  <c r="J18" i="7"/>
  <c r="G18" i="7"/>
  <c r="G19" i="3"/>
  <c r="F18" i="3"/>
  <c r="E18" i="3"/>
  <c r="D19" i="3" s="1"/>
  <c r="I19" i="5"/>
  <c r="H19" i="5"/>
  <c r="J20" i="5" s="1"/>
  <c r="D17" i="1"/>
  <c r="J23" i="5"/>
  <c r="I23" i="5"/>
  <c r="K23" i="5"/>
  <c r="H19" i="4" l="1"/>
  <c r="J24" i="4" s="1"/>
  <c r="J25" i="4"/>
  <c r="I19" i="4"/>
  <c r="I23" i="4" s="1"/>
  <c r="F19" i="3"/>
  <c r="E19" i="3"/>
  <c r="F17" i="1"/>
  <c r="E17" i="1"/>
  <c r="G18" i="1" s="1"/>
  <c r="D18" i="1"/>
  <c r="H18" i="7"/>
  <c r="G19" i="7" s="1"/>
  <c r="I18" i="7"/>
  <c r="I22" i="7" s="1"/>
  <c r="G16" i="6"/>
  <c r="H19" i="3"/>
  <c r="H22" i="3" s="1"/>
  <c r="I19" i="3"/>
  <c r="I22" i="3" s="1"/>
  <c r="J23" i="8"/>
  <c r="H21" i="8"/>
  <c r="J26" i="8" s="1"/>
  <c r="J22" i="8"/>
  <c r="I21" i="8"/>
  <c r="I25" i="8" s="1"/>
  <c r="K23" i="8"/>
  <c r="K24" i="8" s="1"/>
  <c r="K25" i="8" s="1"/>
  <c r="K26" i="8" s="1"/>
  <c r="K27" i="8" s="1"/>
  <c r="I28" i="4"/>
  <c r="J28" i="4"/>
  <c r="K28" i="4"/>
  <c r="M26" i="8" l="1"/>
  <c r="L26" i="8"/>
  <c r="H18" i="1"/>
  <c r="I18" i="1"/>
  <c r="J21" i="7"/>
  <c r="J20" i="7"/>
  <c r="I19" i="7"/>
  <c r="I23" i="7" s="1"/>
  <c r="J23" i="7" s="1"/>
  <c r="H19" i="7"/>
  <c r="J22" i="7" s="1"/>
  <c r="L23" i="8"/>
  <c r="M23" i="8"/>
  <c r="F18" i="1"/>
  <c r="E18" i="1"/>
  <c r="G19" i="1" s="1"/>
  <c r="D19" i="1"/>
  <c r="M22" i="8"/>
  <c r="L22" i="8"/>
  <c r="J25" i="8"/>
  <c r="J19" i="7"/>
  <c r="J21" i="4"/>
  <c r="J22" i="4"/>
  <c r="J27" i="8"/>
  <c r="I16" i="6"/>
  <c r="I20" i="6" s="1"/>
  <c r="H16" i="6"/>
  <c r="J17" i="6"/>
  <c r="G17" i="6"/>
  <c r="J23" i="4"/>
  <c r="J24" i="8"/>
  <c r="J20" i="4"/>
  <c r="I19" i="1" l="1"/>
  <c r="I22" i="1" s="1"/>
  <c r="H19" i="1"/>
  <c r="H22" i="1" s="1"/>
  <c r="F19" i="1"/>
  <c r="E19" i="1"/>
  <c r="M27" i="8"/>
  <c r="L27" i="8"/>
  <c r="J26" i="7"/>
  <c r="I26" i="7"/>
  <c r="K26" i="7"/>
  <c r="H17" i="6"/>
  <c r="J18" i="6" s="1"/>
  <c r="I17" i="6"/>
  <c r="G18" i="6"/>
  <c r="M24" i="8"/>
  <c r="L24" i="8"/>
  <c r="M25" i="8"/>
  <c r="L25" i="8"/>
  <c r="H18" i="6" l="1"/>
  <c r="J19" i="6" s="1"/>
  <c r="I18" i="6"/>
  <c r="G19" i="6"/>
  <c r="J23" i="6" l="1"/>
  <c r="K23" i="6"/>
  <c r="I23" i="6"/>
  <c r="I19" i="6"/>
  <c r="H19" i="6"/>
  <c r="J20" i="6"/>
</calcChain>
</file>

<file path=xl/sharedStrings.xml><?xml version="1.0" encoding="utf-8"?>
<sst xmlns="http://schemas.openxmlformats.org/spreadsheetml/2006/main" count="298" uniqueCount="57">
  <si>
    <t>Holt-Winters Multiplicative</t>
  </si>
  <si>
    <t>qtr</t>
  </si>
  <si>
    <t>t</t>
  </si>
  <si>
    <t>y</t>
  </si>
  <si>
    <t>u</t>
  </si>
  <si>
    <t>v</t>
  </si>
  <si>
    <t>s</t>
  </si>
  <si>
    <t>pred</t>
  </si>
  <si>
    <t>|e|</t>
  </si>
  <si>
    <t>e^2</t>
  </si>
  <si>
    <t>10 Q1</t>
  </si>
  <si>
    <t>10 Q2</t>
  </si>
  <si>
    <t>10 Q3</t>
  </si>
  <si>
    <t>10 Q4</t>
  </si>
  <si>
    <t>11 Q1</t>
  </si>
  <si>
    <t>11 Q2</t>
  </si>
  <si>
    <t>11 Q3</t>
  </si>
  <si>
    <t>11 Q4</t>
  </si>
  <si>
    <t>12 Q1</t>
  </si>
  <si>
    <t>12 Q2</t>
  </si>
  <si>
    <t>12 Q3</t>
  </si>
  <si>
    <t>12 Q4</t>
  </si>
  <si>
    <t>13 Q1</t>
  </si>
  <si>
    <t>13 Q2</t>
  </si>
  <si>
    <t>13 Q3</t>
  </si>
  <si>
    <t>13 Q4</t>
  </si>
  <si>
    <t>alpha</t>
  </si>
  <si>
    <t>beta</t>
  </si>
  <si>
    <t>gamma</t>
  </si>
  <si>
    <t>MAE</t>
  </si>
  <si>
    <t>MSE</t>
  </si>
  <si>
    <t>Holt-Winters</t>
  </si>
  <si>
    <t>month</t>
  </si>
  <si>
    <t>14 Q1</t>
  </si>
  <si>
    <t>14 Q2</t>
  </si>
  <si>
    <t>14 Q3</t>
  </si>
  <si>
    <t>14 Q4</t>
  </si>
  <si>
    <t>Q1</t>
  </si>
  <si>
    <t>Q2</t>
  </si>
  <si>
    <t>Q3</t>
  </si>
  <si>
    <t>Q4</t>
  </si>
  <si>
    <t>Holt-Winters (Real Statistics)</t>
  </si>
  <si>
    <t>Holt-Winter Multiplicative</t>
  </si>
  <si>
    <t>forecast</t>
  </si>
  <si>
    <t>&gt;</t>
  </si>
  <si>
    <t>MAPE</t>
  </si>
  <si>
    <t>Holt-Winter Additive</t>
  </si>
  <si>
    <t>Holt-Winters (additive)</t>
  </si>
  <si>
    <t>sig level</t>
  </si>
  <si>
    <t>s.e.</t>
  </si>
  <si>
    <t>lower</t>
  </si>
  <si>
    <t>upper</t>
  </si>
  <si>
    <t>15 Q1</t>
  </si>
  <si>
    <t>16 Q2</t>
  </si>
  <si>
    <t>Real Statistics Using Excel</t>
  </si>
  <si>
    <t>Updated</t>
  </si>
  <si>
    <t>Copyright © 2013 - 2023 Charles Zaiontz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</si>
</sst>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0" borderId="9" xfId="0" applyBorder="1"/>
    <xf numFmtId="1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Holt-Winters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'Holt-Winters'!$C$3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'Holt-Winters'!$A$4:$A$19</c:f>
              <c:strCache>
                <c:ptCount val="16"/>
                <c:pt idx="0">
                  <c:v>10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</c:strCache>
            </c:strRef>
          </c:cat>
          <c:val>
            <c:numRef>
              <c:f>'Holt-Winters'!$C$4:$C$19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2-433F-8491-CCDAEDDAE928}"/>
            </c:ext>
          </c:extLst>
        </c:ser>
        <c:ser>
          <c:idx val="4"/>
          <c:order val="1"/>
          <c:tx>
            <c:strRef>
              <c:f>'Holt-Winters'!$G$3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'Holt-Winters'!$A$4:$A$19</c:f>
              <c:strCache>
                <c:ptCount val="16"/>
                <c:pt idx="0">
                  <c:v>10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</c:strCache>
            </c:strRef>
          </c:cat>
          <c:val>
            <c:numRef>
              <c:f>'Holt-Winters'!$G$4:$G$19</c:f>
              <c:numCache>
                <c:formatCode>General</c:formatCode>
                <c:ptCount val="16"/>
                <c:pt idx="4">
                  <c:v>10</c:v>
                </c:pt>
                <c:pt idx="5">
                  <c:v>20.299999999999997</c:v>
                </c:pt>
                <c:pt idx="6">
                  <c:v>13.528571428571427</c:v>
                </c:pt>
                <c:pt idx="7">
                  <c:v>47.890624999999993</c:v>
                </c:pt>
                <c:pt idx="8">
                  <c:v>19.229180975274733</c:v>
                </c:pt>
                <c:pt idx="9">
                  <c:v>21.504854758320089</c:v>
                </c:pt>
                <c:pt idx="10">
                  <c:v>14.247175998140808</c:v>
                </c:pt>
                <c:pt idx="11">
                  <c:v>50.313054821313465</c:v>
                </c:pt>
                <c:pt idx="12">
                  <c:v>21.249718185729147</c:v>
                </c:pt>
                <c:pt idx="13">
                  <c:v>39.02979463097477</c:v>
                </c:pt>
                <c:pt idx="14">
                  <c:v>24.486443394074048</c:v>
                </c:pt>
                <c:pt idx="15">
                  <c:v>68.750087281601125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2-433F-8491-CCDAEDDA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2504"/>
        <c:axId val="494759168"/>
      </c:lineChart>
      <c:catAx>
        <c:axId val="49475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9168"/>
        <c:crosses val="autoZero"/>
        <c:auto val="1"/>
        <c:lblAlgn val="ctr"/>
        <c:lblOffset val="100"/>
        <c:noMultiLvlLbl val="0"/>
      </c:catAx>
      <c:valAx>
        <c:axId val="4947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Holt-Winters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'Holt-Winters 1'!$M$3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'Holt-Winters 1'!$K$4:$K$23</c:f>
              <c:strCache>
                <c:ptCount val="20"/>
                <c:pt idx="0">
                  <c:v>10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14 Q1</c:v>
                </c:pt>
                <c:pt idx="17">
                  <c:v>14 Q2</c:v>
                </c:pt>
                <c:pt idx="18">
                  <c:v>14 Q3</c:v>
                </c:pt>
                <c:pt idx="19">
                  <c:v>14 Q4</c:v>
                </c:pt>
              </c:strCache>
            </c:strRef>
          </c:cat>
          <c:val>
            <c:numRef>
              <c:f>'Holt-Winters 1'!$M$4:$M$23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4-417D-B446-915C25CDBA12}"/>
            </c:ext>
          </c:extLst>
        </c:ser>
        <c:ser>
          <c:idx val="1"/>
          <c:order val="1"/>
          <c:tx>
            <c:strRef>
              <c:f>'Holt-Winters 1'!$N$3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'Holt-Winters 1'!$K$4:$K$23</c:f>
              <c:strCache>
                <c:ptCount val="20"/>
                <c:pt idx="0">
                  <c:v>10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14 Q1</c:v>
                </c:pt>
                <c:pt idx="17">
                  <c:v>14 Q2</c:v>
                </c:pt>
                <c:pt idx="18">
                  <c:v>14 Q3</c:v>
                </c:pt>
                <c:pt idx="19">
                  <c:v>14 Q4</c:v>
                </c:pt>
              </c:strCache>
            </c:strRef>
          </c:cat>
          <c:val>
            <c:numRef>
              <c:f>'Holt-Winters 1'!$N$4:$N$23</c:f>
              <c:numCache>
                <c:formatCode>General</c:formatCode>
                <c:ptCount val="20"/>
                <c:pt idx="4">
                  <c:v>10</c:v>
                </c:pt>
                <c:pt idx="5">
                  <c:v>20.299999999999997</c:v>
                </c:pt>
                <c:pt idx="6">
                  <c:v>13.528571428571427</c:v>
                </c:pt>
                <c:pt idx="7">
                  <c:v>47.890624999999993</c:v>
                </c:pt>
                <c:pt idx="8">
                  <c:v>19.229180975274733</c:v>
                </c:pt>
                <c:pt idx="9">
                  <c:v>21.504854758320089</c:v>
                </c:pt>
                <c:pt idx="10">
                  <c:v>14.247175998140808</c:v>
                </c:pt>
                <c:pt idx="11">
                  <c:v>50.313054821313465</c:v>
                </c:pt>
                <c:pt idx="12">
                  <c:v>21.249718185729147</c:v>
                </c:pt>
                <c:pt idx="13">
                  <c:v>39.02979463097477</c:v>
                </c:pt>
                <c:pt idx="14">
                  <c:v>24.486443394074048</c:v>
                </c:pt>
                <c:pt idx="15">
                  <c:v>68.750087281601125</c:v>
                </c:pt>
                <c:pt idx="16">
                  <c:v>36.872090293673118</c:v>
                </c:pt>
                <c:pt idx="17">
                  <c:v>53.424924748326106</c:v>
                </c:pt>
                <c:pt idx="18">
                  <c:v>32.098119975044504</c:v>
                </c:pt>
                <c:pt idx="19">
                  <c:v>84.910623378413391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4-417D-B446-915C25CD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65832"/>
        <c:axId val="494762696"/>
      </c:lineChart>
      <c:catAx>
        <c:axId val="49476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2696"/>
        <c:crosses val="autoZero"/>
        <c:auto val="1"/>
        <c:lblAlgn val="ctr"/>
        <c:lblOffset val="100"/>
        <c:noMultiLvlLbl val="0"/>
      </c:catAx>
      <c:valAx>
        <c:axId val="4947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cat>
            <c:strRef>
              <c:f>'Holt-Winters 3'!$E$4:$E$25</c:f>
              <c:strCache>
                <c:ptCount val="22"/>
                <c:pt idx="0">
                  <c:v>10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&gt;</c:v>
                </c:pt>
                <c:pt idx="17">
                  <c:v>&gt;</c:v>
                </c:pt>
                <c:pt idx="18">
                  <c:v>&gt;</c:v>
                </c:pt>
                <c:pt idx="19">
                  <c:v>&gt;</c:v>
                </c:pt>
                <c:pt idx="20">
                  <c:v>&gt;</c:v>
                </c:pt>
                <c:pt idx="21">
                  <c:v>&gt;</c:v>
                </c:pt>
              </c:strCache>
            </c:strRef>
          </c:cat>
          <c:val>
            <c:numRef>
              <c:f>'Holt-Winters 3'!$F$4:$F$19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8-43D4-BF18-26F9693CEB12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'Holt-Winters 3'!$J$4:$J$25</c:f>
              <c:numCache>
                <c:formatCode>General</c:formatCode>
                <c:ptCount val="22"/>
                <c:pt idx="4">
                  <c:v>11.315789473684211</c:v>
                </c:pt>
                <c:pt idx="5">
                  <c:v>22.602631578947364</c:v>
                </c:pt>
                <c:pt idx="6">
                  <c:v>14.646992481203005</c:v>
                </c:pt>
                <c:pt idx="7">
                  <c:v>50.20353618421052</c:v>
                </c:pt>
                <c:pt idx="8">
                  <c:v>19.214804731074441</c:v>
                </c:pt>
                <c:pt idx="9">
                  <c:v>21.473614207279361</c:v>
                </c:pt>
                <c:pt idx="10">
                  <c:v>14.324014910109998</c:v>
                </c:pt>
                <c:pt idx="11">
                  <c:v>50.718859599877675</c:v>
                </c:pt>
                <c:pt idx="12">
                  <c:v>20.974260666231142</c:v>
                </c:pt>
                <c:pt idx="13">
                  <c:v>38.83577711755747</c:v>
                </c:pt>
                <c:pt idx="14">
                  <c:v>24.58090882920925</c:v>
                </c:pt>
                <c:pt idx="15">
                  <c:v>69.345826670109716</c:v>
                </c:pt>
                <c:pt idx="16">
                  <c:v>36.644101895745493</c:v>
                </c:pt>
                <c:pt idx="17">
                  <c:v>52.953373367490265</c:v>
                </c:pt>
                <c:pt idx="18">
                  <c:v>31.873352303556455</c:v>
                </c:pt>
                <c:pt idx="19">
                  <c:v>84.676283131091367</c:v>
                </c:pt>
                <c:pt idx="20">
                  <c:v>46.274666126308901</c:v>
                </c:pt>
                <c:pt idx="21">
                  <c:v>66.01222362288965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8-43D4-BF18-26F9693C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60736"/>
        <c:axId val="494761520"/>
      </c:lineChart>
      <c:catAx>
        <c:axId val="4947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761520"/>
        <c:crosses val="autoZero"/>
        <c:auto val="1"/>
        <c:lblAlgn val="ctr"/>
        <c:lblOffset val="100"/>
        <c:noMultiLvlLbl val="0"/>
      </c:catAx>
      <c:valAx>
        <c:axId val="49476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7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cat>
            <c:strRef>
              <c:f>'Holt-Winters 4'!$E$4:$E$20</c:f>
              <c:strCache>
                <c:ptCount val="17"/>
                <c:pt idx="0">
                  <c:v>10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&gt;</c:v>
                </c:pt>
              </c:strCache>
            </c:strRef>
          </c:cat>
          <c:val>
            <c:numRef>
              <c:f>'Holt-Winters 4'!$F$4:$F$19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5-408C-AF4B-65674AC577DA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'Holt-Winters 4'!$J$4:$J$20</c:f>
              <c:numCache>
                <c:formatCode>General</c:formatCode>
                <c:ptCount val="17"/>
                <c:pt idx="4">
                  <c:v>11.315789473684211</c:v>
                </c:pt>
                <c:pt idx="5">
                  <c:v>17.943701554039038</c:v>
                </c:pt>
                <c:pt idx="6">
                  <c:v>11.460861941507558</c:v>
                </c:pt>
                <c:pt idx="7">
                  <c:v>39.737137478531587</c:v>
                </c:pt>
                <c:pt idx="8">
                  <c:v>18.388796186624727</c:v>
                </c:pt>
                <c:pt idx="9">
                  <c:v>27.003738380050862</c:v>
                </c:pt>
                <c:pt idx="10">
                  <c:v>16.586989795093494</c:v>
                </c:pt>
                <c:pt idx="11">
                  <c:v>52.888748716117917</c:v>
                </c:pt>
                <c:pt idx="12">
                  <c:v>23.510979004921346</c:v>
                </c:pt>
                <c:pt idx="13">
                  <c:v>35.174684281116598</c:v>
                </c:pt>
                <c:pt idx="14">
                  <c:v>21.648218845240585</c:v>
                </c:pt>
                <c:pt idx="15">
                  <c:v>64.999999620638647</c:v>
                </c:pt>
                <c:pt idx="16">
                  <c:v>30.840769360757349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5-408C-AF4B-65674AC5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543583"/>
        <c:axId val="1052533183"/>
      </c:lineChart>
      <c:catAx>
        <c:axId val="105254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533183"/>
        <c:crosses val="autoZero"/>
        <c:auto val="1"/>
        <c:lblAlgn val="ctr"/>
        <c:lblOffset val="100"/>
        <c:noMultiLvlLbl val="0"/>
      </c:catAx>
      <c:valAx>
        <c:axId val="10525331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543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cat>
            <c:strRef>
              <c:f>'Holt-Winters 4a'!$E$4:$E$20</c:f>
              <c:strCache>
                <c:ptCount val="17"/>
                <c:pt idx="0">
                  <c:v>10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&gt;</c:v>
                </c:pt>
              </c:strCache>
            </c:strRef>
          </c:cat>
          <c:val>
            <c:numRef>
              <c:f>'Holt-Winters 4a'!$F$4:$F$19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F-469E-9D35-C6927D40C224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'Holt-Winters 4a'!$J$4:$J$20</c:f>
              <c:numCache>
                <c:formatCode>General</c:formatCode>
                <c:ptCount val="17"/>
                <c:pt idx="4">
                  <c:v>11.315789473684211</c:v>
                </c:pt>
                <c:pt idx="5">
                  <c:v>18.063081791952143</c:v>
                </c:pt>
                <c:pt idx="6">
                  <c:v>11.561049895567537</c:v>
                </c:pt>
                <c:pt idx="7">
                  <c:v>40.141578242244528</c:v>
                </c:pt>
                <c:pt idx="8">
                  <c:v>18.505135323931807</c:v>
                </c:pt>
                <c:pt idx="9">
                  <c:v>27.00351129729485</c:v>
                </c:pt>
                <c:pt idx="10">
                  <c:v>16.566051909954734</c:v>
                </c:pt>
                <c:pt idx="11">
                  <c:v>52.818757153015305</c:v>
                </c:pt>
                <c:pt idx="12">
                  <c:v>23.386348613540935</c:v>
                </c:pt>
                <c:pt idx="13">
                  <c:v>35.11374554867551</c:v>
                </c:pt>
                <c:pt idx="14">
                  <c:v>21.653707053768095</c:v>
                </c:pt>
                <c:pt idx="15">
                  <c:v>64.999997292142652</c:v>
                </c:pt>
                <c:pt idx="16">
                  <c:v>30.908792763762207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F-469E-9D35-C6927D40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7992"/>
        <c:axId val="494768576"/>
      </c:lineChart>
      <c:catAx>
        <c:axId val="4947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768576"/>
        <c:crosses val="autoZero"/>
        <c:auto val="1"/>
        <c:lblAlgn val="ctr"/>
        <c:lblOffset val="100"/>
        <c:noMultiLvlLbl val="0"/>
      </c:catAx>
      <c:valAx>
        <c:axId val="49476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75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cat>
            <c:strRef>
              <c:f>'Holt-Winters 5'!$E$4:$E$23</c:f>
              <c:strCache>
                <c:ptCount val="20"/>
                <c:pt idx="0">
                  <c:v>10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14 Q1</c:v>
                </c:pt>
                <c:pt idx="17">
                  <c:v>14 Q2</c:v>
                </c:pt>
                <c:pt idx="18">
                  <c:v>14 Q3</c:v>
                </c:pt>
                <c:pt idx="19">
                  <c:v>14 Q4</c:v>
                </c:pt>
              </c:strCache>
            </c:strRef>
          </c:cat>
          <c:val>
            <c:numRef>
              <c:f>'Holt-Winters 5'!$F$4:$F$19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8-4335-BB17-61D5C69CAC47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'Holt-Winters 5'!$J$4:$J$23</c:f>
              <c:numCache>
                <c:formatCode>General</c:formatCode>
                <c:ptCount val="20"/>
                <c:pt idx="4">
                  <c:v>11.875</c:v>
                </c:pt>
                <c:pt idx="5">
                  <c:v>17.878140738945099</c:v>
                </c:pt>
                <c:pt idx="6">
                  <c:v>13.945254282124136</c:v>
                </c:pt>
                <c:pt idx="7">
                  <c:v>32.950046882508765</c:v>
                </c:pt>
                <c:pt idx="8">
                  <c:v>20.955264391273481</c:v>
                </c:pt>
                <c:pt idx="9">
                  <c:v>26.80533625362434</c:v>
                </c:pt>
                <c:pt idx="10">
                  <c:v>21.830230248964916</c:v>
                </c:pt>
                <c:pt idx="11">
                  <c:v>41.111056075520047</c:v>
                </c:pt>
                <c:pt idx="12">
                  <c:v>27.081400913273562</c:v>
                </c:pt>
                <c:pt idx="13">
                  <c:v>34.376633416700244</c:v>
                </c:pt>
                <c:pt idx="14">
                  <c:v>28.595868296183948</c:v>
                </c:pt>
                <c:pt idx="15">
                  <c:v>48.526893035170218</c:v>
                </c:pt>
                <c:pt idx="16">
                  <c:v>35.533313796687494</c:v>
                </c:pt>
                <c:pt idx="17">
                  <c:v>44.17100698771943</c:v>
                </c:pt>
                <c:pt idx="18">
                  <c:v>36.407418404722478</c:v>
                </c:pt>
                <c:pt idx="19">
                  <c:v>61.211749797143028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8-4335-BB17-61D5C69C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62304"/>
        <c:axId val="494759952"/>
      </c:lineChart>
      <c:catAx>
        <c:axId val="4947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759952"/>
        <c:crosses val="autoZero"/>
        <c:auto val="1"/>
        <c:lblAlgn val="ctr"/>
        <c:lblOffset val="100"/>
        <c:noMultiLvlLbl val="0"/>
      </c:catAx>
      <c:valAx>
        <c:axId val="49475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7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cat>
            <c:strRef>
              <c:f>'Holt-Winters 6'!$E$6:$E$27</c:f>
              <c:strCache>
                <c:ptCount val="22"/>
                <c:pt idx="0">
                  <c:v>10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14 Q1</c:v>
                </c:pt>
                <c:pt idx="17">
                  <c:v>14 Q2</c:v>
                </c:pt>
                <c:pt idx="18">
                  <c:v>14 Q3</c:v>
                </c:pt>
                <c:pt idx="19">
                  <c:v>14 Q4</c:v>
                </c:pt>
                <c:pt idx="20">
                  <c:v>15 Q1</c:v>
                </c:pt>
                <c:pt idx="21">
                  <c:v>16 Q2</c:v>
                </c:pt>
              </c:strCache>
            </c:strRef>
          </c:cat>
          <c:val>
            <c:numRef>
              <c:f>'Holt-Winters 6'!$F$6:$F$21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2-45DC-A4E5-BE35A6A34E74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'Holt-Winters 6'!$J$6:$J$27</c:f>
              <c:numCache>
                <c:formatCode>General</c:formatCode>
                <c:ptCount val="22"/>
                <c:pt idx="4">
                  <c:v>11.875</c:v>
                </c:pt>
                <c:pt idx="5">
                  <c:v>17.878140396707728</c:v>
                </c:pt>
                <c:pt idx="6">
                  <c:v>13.945253437422668</c:v>
                </c:pt>
                <c:pt idx="7">
                  <c:v>32.950045722713938</c:v>
                </c:pt>
                <c:pt idx="8">
                  <c:v>20.955265132140223</c:v>
                </c:pt>
                <c:pt idx="9">
                  <c:v>26.805337148589569</c:v>
                </c:pt>
                <c:pt idx="10">
                  <c:v>21.83022872922983</c:v>
                </c:pt>
                <c:pt idx="11">
                  <c:v>41.1110559548056</c:v>
                </c:pt>
                <c:pt idx="12">
                  <c:v>27.081398238996158</c:v>
                </c:pt>
                <c:pt idx="13">
                  <c:v>34.3766343607832</c:v>
                </c:pt>
                <c:pt idx="14">
                  <c:v>28.595864831042523</c:v>
                </c:pt>
                <c:pt idx="15">
                  <c:v>48.526892234125725</c:v>
                </c:pt>
                <c:pt idx="16">
                  <c:v>35.533310752706932</c:v>
                </c:pt>
                <c:pt idx="17">
                  <c:v>44.171008712804245</c:v>
                </c:pt>
                <c:pt idx="18">
                  <c:v>36.407411226814958</c:v>
                </c:pt>
                <c:pt idx="19">
                  <c:v>61.21175528895175</c:v>
                </c:pt>
                <c:pt idx="20">
                  <c:v>44.218035279557022</c:v>
                </c:pt>
                <c:pt idx="21">
                  <c:v>52.855733239654334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2-45DC-A4E5-BE35A6A3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516127"/>
        <c:axId val="1052525695"/>
      </c:lineChart>
      <c:catAx>
        <c:axId val="105251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525695"/>
        <c:crosses val="autoZero"/>
        <c:auto val="1"/>
        <c:lblAlgn val="ctr"/>
        <c:lblOffset val="100"/>
        <c:noMultiLvlLbl val="0"/>
      </c:catAx>
      <c:valAx>
        <c:axId val="10525256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516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3</xdr:row>
      <xdr:rowOff>52387</xdr:rowOff>
    </xdr:from>
    <xdr:to>
      <xdr:col>16</xdr:col>
      <xdr:colOff>504825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55E77-F1E7-4365-BA8C-99E9EA87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4</xdr:row>
      <xdr:rowOff>4762</xdr:rowOff>
    </xdr:from>
    <xdr:to>
      <xdr:col>22</xdr:col>
      <xdr:colOff>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0A5BD-16E6-4961-A453-4CC19668B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134938</xdr:colOff>
      <xdr:row>3</xdr:row>
      <xdr:rowOff>109537</xdr:rowOff>
    </xdr:from>
    <xdr:to>
      <xdr:col>17</xdr:col>
      <xdr:colOff>439738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1C338-7FAA-4CA4-AAD5-E8CC8096C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377825</xdr:colOff>
      <xdr:row>3</xdr:row>
      <xdr:rowOff>60325</xdr:rowOff>
    </xdr:from>
    <xdr:to>
      <xdr:col>18</xdr:col>
      <xdr:colOff>73025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37B21-4BB5-41A1-90BD-126DD837C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96837</xdr:rowOff>
    </xdr:from>
    <xdr:to>
      <xdr:col>17</xdr:col>
      <xdr:colOff>457200</xdr:colOff>
      <xdr:row>17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15C86-9E0A-42DE-BCF8-BAA6971C9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</xdr:row>
      <xdr:rowOff>185737</xdr:rowOff>
    </xdr:from>
    <xdr:to>
      <xdr:col>17</xdr:col>
      <xdr:colOff>504825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0464C-CC54-4D02-A334-BE51D817E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180269</xdr:colOff>
      <xdr:row>4</xdr:row>
      <xdr:rowOff>75142</xdr:rowOff>
    </xdr:from>
    <xdr:to>
      <xdr:col>20</xdr:col>
      <xdr:colOff>485069</xdr:colOff>
      <xdr:row>19</xdr:row>
      <xdr:rowOff>50447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D09D8-FC6E-4E8E-8301-50001326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51B1-6C62-4027-BABC-50511B5B7657}">
  <sheetPr codeName="Sheet1"/>
  <dimension ref="A1:B6"/>
  <sheetViews>
    <sheetView workbookViewId="0"/>
  </sheetViews>
  <sheetFormatPr defaultRowHeight="14.5" x14ac:dyDescent="0.35"/>
  <cols>
    <col min="2" max="2" width="9.26953125" bestFit="1" customWidth="1"/>
  </cols>
  <sheetData>
    <row r="1" spans="1:2" x14ac:dyDescent="0.35">
      <c r="A1" t="s">
        <v>54</v>
      </c>
    </row>
    <row r="2" spans="1:2" x14ac:dyDescent="0.35">
      <c r="A2" t="s">
        <v>31</v>
      </c>
    </row>
    <row r="4" spans="1:2" x14ac:dyDescent="0.35">
      <c r="A4" t="s">
        <v>55</v>
      </c>
      <c r="B4" s="20">
        <v>44941</v>
      </c>
    </row>
    <row r="6" spans="1:2" x14ac:dyDescent="0.35">
      <c r="A6" s="2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1BA0-6907-47E1-9EB5-28C59CE1BB9E}">
  <sheetPr codeName="Sheet19"/>
  <dimension ref="A1:I22"/>
  <sheetViews>
    <sheetView topLeftCell="A7" workbookViewId="0">
      <selection activeCell="G8" sqref="G8"/>
    </sheetView>
  </sheetViews>
  <sheetFormatPr defaultRowHeight="14.5" x14ac:dyDescent="0.35"/>
  <cols>
    <col min="1" max="1" width="6.7265625" customWidth="1"/>
    <col min="2" max="2" width="5.81640625" customWidth="1"/>
  </cols>
  <sheetData>
    <row r="1" spans="1:9" x14ac:dyDescent="0.35">
      <c r="A1" s="1" t="s">
        <v>0</v>
      </c>
    </row>
    <row r="3" spans="1:9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35">
      <c r="A4" s="3" t="s">
        <v>10</v>
      </c>
      <c r="B4" s="3">
        <v>1</v>
      </c>
      <c r="C4" s="3">
        <v>10</v>
      </c>
      <c r="D4" s="4"/>
      <c r="E4" s="4"/>
      <c r="F4" s="4">
        <f>C4/AVERAGE(C$4:C$7)</f>
        <v>0.70175438596491224</v>
      </c>
    </row>
    <row r="5" spans="1:9" x14ac:dyDescent="0.35">
      <c r="A5" s="3" t="s">
        <v>11</v>
      </c>
      <c r="B5" s="3">
        <f>B4+1</f>
        <v>2</v>
      </c>
      <c r="C5" s="3">
        <v>14</v>
      </c>
      <c r="D5" s="4"/>
      <c r="E5" s="4"/>
      <c r="F5" s="4">
        <f>C5/AVERAGE(C$4:C$7)</f>
        <v>0.98245614035087714</v>
      </c>
      <c r="G5" s="4"/>
      <c r="H5" s="4"/>
      <c r="I5" s="4"/>
    </row>
    <row r="6" spans="1:9" x14ac:dyDescent="0.35">
      <c r="A6" s="3" t="s">
        <v>12</v>
      </c>
      <c r="B6" s="3">
        <f t="shared" ref="B6:B19" si="0">B5+1</f>
        <v>3</v>
      </c>
      <c r="C6" s="3">
        <v>8</v>
      </c>
      <c r="D6" s="4"/>
      <c r="E6" s="4"/>
      <c r="F6" s="4">
        <f>C6/AVERAGE(C$4:C$7)</f>
        <v>0.56140350877192979</v>
      </c>
      <c r="G6" s="4"/>
      <c r="H6" s="4"/>
      <c r="I6" s="4"/>
    </row>
    <row r="7" spans="1:9" x14ac:dyDescent="0.35">
      <c r="A7" s="3" t="s">
        <v>13</v>
      </c>
      <c r="B7" s="3">
        <f t="shared" si="0"/>
        <v>4</v>
      </c>
      <c r="C7" s="3">
        <v>25</v>
      </c>
      <c r="D7" s="4">
        <f>C7/F7</f>
        <v>14.25</v>
      </c>
      <c r="E7" s="4">
        <v>0</v>
      </c>
      <c r="F7" s="4">
        <f>C7/AVERAGE(C$4:C$7)</f>
        <v>1.7543859649122806</v>
      </c>
      <c r="G7" s="4"/>
      <c r="H7" s="4"/>
      <c r="I7" s="4"/>
    </row>
    <row r="8" spans="1:9" x14ac:dyDescent="0.35">
      <c r="A8" s="3" t="s">
        <v>14</v>
      </c>
      <c r="B8" s="3">
        <f t="shared" si="0"/>
        <v>5</v>
      </c>
      <c r="C8" s="3">
        <v>16</v>
      </c>
      <c r="D8" s="4">
        <f>C$22*C8/F4+(1-C$22)*(D7+E7)</f>
        <v>18.524999999999999</v>
      </c>
      <c r="E8" s="4">
        <f>D$22*(D8-D7)+(1-D$22)*E7</f>
        <v>2.1374999999999993</v>
      </c>
      <c r="F8" s="4">
        <f>E$22*(C8/D8)+(1-E$22)*F4</f>
        <v>0.78272604588394068</v>
      </c>
      <c r="G8">
        <f>(D7+E7)*F4</f>
        <v>10</v>
      </c>
      <c r="H8">
        <f>ABS(C8-G8)</f>
        <v>6</v>
      </c>
      <c r="I8">
        <f>(C8-G8)^2</f>
        <v>36</v>
      </c>
    </row>
    <row r="9" spans="1:9" x14ac:dyDescent="0.35">
      <c r="A9" s="3" t="s">
        <v>15</v>
      </c>
      <c r="B9" s="3">
        <f t="shared" si="0"/>
        <v>6</v>
      </c>
      <c r="C9" s="3">
        <v>22</v>
      </c>
      <c r="D9" s="4">
        <f t="shared" ref="D9:D18" si="1">C$22*C9/F5+(1-C$22)*(D8+E8)</f>
        <v>21.52767857142857</v>
      </c>
      <c r="E9" s="4">
        <f t="shared" ref="E9:E19" si="2">D$22*(D9-D8)+(1-D$22)*E8</f>
        <v>2.5700892857142854</v>
      </c>
      <c r="F9" s="4">
        <f t="shared" ref="F9:F18" si="3">E$22*(C9/D9)+(1-E$22)*F5</f>
        <v>1.0021981668118287</v>
      </c>
      <c r="G9">
        <f t="shared" ref="G9:G18" si="4">(D8+E8)*F5</f>
        <v>20.299999999999997</v>
      </c>
      <c r="H9">
        <f t="shared" ref="H9:H18" si="5">ABS(C9-G9)</f>
        <v>1.7000000000000028</v>
      </c>
      <c r="I9">
        <f t="shared" ref="I9:I18" si="6">(C9-G9)^2</f>
        <v>2.8900000000000095</v>
      </c>
    </row>
    <row r="10" spans="1:9" x14ac:dyDescent="0.35">
      <c r="A10" s="3" t="s">
        <v>16</v>
      </c>
      <c r="B10" s="3">
        <f t="shared" si="0"/>
        <v>7</v>
      </c>
      <c r="C10" s="3">
        <v>14</v>
      </c>
      <c r="D10" s="4">
        <f t="shared" si="1"/>
        <v>24.517633928571428</v>
      </c>
      <c r="E10" s="4">
        <f t="shared" si="2"/>
        <v>2.7800223214285715</v>
      </c>
      <c r="F10" s="4">
        <f t="shared" si="3"/>
        <v>0.56621054452425823</v>
      </c>
      <c r="G10">
        <f t="shared" si="4"/>
        <v>13.528571428571427</v>
      </c>
      <c r="H10">
        <f t="shared" si="5"/>
        <v>0.47142857142857331</v>
      </c>
      <c r="I10">
        <f t="shared" si="6"/>
        <v>0.22224489795918545</v>
      </c>
    </row>
    <row r="11" spans="1:9" x14ac:dyDescent="0.35">
      <c r="A11" s="3" t="s">
        <v>17</v>
      </c>
      <c r="B11" s="3">
        <f t="shared" si="0"/>
        <v>8</v>
      </c>
      <c r="C11" s="3">
        <v>35</v>
      </c>
      <c r="D11" s="4">
        <f t="shared" si="1"/>
        <v>23.623828125000003</v>
      </c>
      <c r="E11" s="4">
        <f t="shared" si="2"/>
        <v>0.94310825892857331</v>
      </c>
      <c r="F11" s="4">
        <f t="shared" si="3"/>
        <v>1.6179704681118441</v>
      </c>
      <c r="G11">
        <f t="shared" si="4"/>
        <v>47.890624999999993</v>
      </c>
      <c r="H11">
        <f t="shared" si="5"/>
        <v>12.890624999999993</v>
      </c>
      <c r="I11">
        <f t="shared" si="6"/>
        <v>166.16821289062483</v>
      </c>
    </row>
    <row r="12" spans="1:9" x14ac:dyDescent="0.35">
      <c r="A12" s="3" t="s">
        <v>18</v>
      </c>
      <c r="B12" s="3">
        <f t="shared" si="0"/>
        <v>9</v>
      </c>
      <c r="C12" s="3">
        <v>15</v>
      </c>
      <c r="D12" s="4">
        <f t="shared" si="1"/>
        <v>21.865364743688424</v>
      </c>
      <c r="E12" s="4">
        <f t="shared" si="2"/>
        <v>-0.40767756119150267</v>
      </c>
      <c r="F12" s="4">
        <f t="shared" si="3"/>
        <v>0.73437125024194816</v>
      </c>
      <c r="G12">
        <f t="shared" si="4"/>
        <v>19.229180975274733</v>
      </c>
      <c r="H12">
        <f t="shared" si="5"/>
        <v>4.2291809752747334</v>
      </c>
      <c r="I12">
        <f t="shared" si="6"/>
        <v>17.885971721625744</v>
      </c>
    </row>
    <row r="13" spans="1:9" x14ac:dyDescent="0.35">
      <c r="A13" s="3" t="s">
        <v>19</v>
      </c>
      <c r="B13" s="3">
        <f t="shared" si="0"/>
        <v>10</v>
      </c>
      <c r="C13" s="3">
        <v>27</v>
      </c>
      <c r="D13" s="4">
        <f t="shared" si="1"/>
        <v>24.199233427368306</v>
      </c>
      <c r="E13" s="4">
        <f t="shared" si="2"/>
        <v>0.96309556124418938</v>
      </c>
      <c r="F13" s="4">
        <f t="shared" si="3"/>
        <v>1.0589679944405952</v>
      </c>
      <c r="G13">
        <f t="shared" si="4"/>
        <v>21.504854758320089</v>
      </c>
      <c r="H13">
        <f t="shared" si="5"/>
        <v>5.4951452416799107</v>
      </c>
      <c r="I13">
        <f t="shared" si="6"/>
        <v>30.196621227157365</v>
      </c>
    </row>
    <row r="14" spans="1:9" x14ac:dyDescent="0.35">
      <c r="A14" s="3" t="s">
        <v>20</v>
      </c>
      <c r="B14" s="3">
        <f t="shared" si="0"/>
        <v>11</v>
      </c>
      <c r="C14" s="3">
        <v>18</v>
      </c>
      <c r="D14" s="4">
        <f t="shared" si="1"/>
        <v>28.476311780130793</v>
      </c>
      <c r="E14" s="4">
        <f t="shared" si="2"/>
        <v>2.6200869570033385</v>
      </c>
      <c r="F14" s="4">
        <f t="shared" si="3"/>
        <v>0.59915743763699014</v>
      </c>
      <c r="G14">
        <f t="shared" si="4"/>
        <v>14.247175998140808</v>
      </c>
      <c r="H14">
        <f t="shared" si="5"/>
        <v>3.7528240018591923</v>
      </c>
      <c r="I14">
        <f t="shared" si="6"/>
        <v>14.083687988930443</v>
      </c>
    </row>
    <row r="15" spans="1:9" x14ac:dyDescent="0.35">
      <c r="A15" s="3" t="s">
        <v>21</v>
      </c>
      <c r="B15" s="3">
        <f t="shared" si="0"/>
        <v>12</v>
      </c>
      <c r="C15" s="3">
        <v>40</v>
      </c>
      <c r="D15" s="4">
        <f t="shared" si="1"/>
        <v>27.909364417110755</v>
      </c>
      <c r="E15" s="4">
        <f t="shared" si="2"/>
        <v>1.0265697969916503</v>
      </c>
      <c r="F15" s="4">
        <f t="shared" si="3"/>
        <v>1.5255905892011055</v>
      </c>
      <c r="G15">
        <f t="shared" si="4"/>
        <v>50.313054821313465</v>
      </c>
      <c r="H15">
        <f t="shared" si="5"/>
        <v>10.313054821313465</v>
      </c>
      <c r="I15">
        <f t="shared" si="6"/>
        <v>106.35909974741689</v>
      </c>
    </row>
    <row r="16" spans="1:9" x14ac:dyDescent="0.35">
      <c r="A16" s="3" t="s">
        <v>22</v>
      </c>
      <c r="B16" s="3">
        <f t="shared" si="0"/>
        <v>13</v>
      </c>
      <c r="C16" s="3">
        <v>28</v>
      </c>
      <c r="D16" s="4">
        <f t="shared" si="1"/>
        <v>33.531894235717417</v>
      </c>
      <c r="E16" s="4">
        <f t="shared" si="2"/>
        <v>3.3245498077991558</v>
      </c>
      <c r="F16" s="4">
        <f t="shared" si="3"/>
        <v>0.7846985726921708</v>
      </c>
      <c r="G16">
        <f t="shared" si="4"/>
        <v>21.249718185729147</v>
      </c>
      <c r="H16">
        <f t="shared" si="5"/>
        <v>6.7502818142708527</v>
      </c>
      <c r="I16">
        <f t="shared" si="6"/>
        <v>45.566304572075794</v>
      </c>
    </row>
    <row r="17" spans="1:9" x14ac:dyDescent="0.35">
      <c r="A17" s="3" t="s">
        <v>23</v>
      </c>
      <c r="B17" s="3">
        <f t="shared" si="0"/>
        <v>14</v>
      </c>
      <c r="C17" s="3">
        <v>40</v>
      </c>
      <c r="D17" s="4">
        <f t="shared" si="1"/>
        <v>37.314534077454638</v>
      </c>
      <c r="E17" s="4">
        <f t="shared" si="2"/>
        <v>3.5535948247681888</v>
      </c>
      <c r="F17" s="4">
        <f t="shared" si="3"/>
        <v>1.0654681785713374</v>
      </c>
      <c r="G17">
        <f t="shared" si="4"/>
        <v>39.02979463097477</v>
      </c>
      <c r="H17">
        <f t="shared" si="5"/>
        <v>0.97020536902522991</v>
      </c>
      <c r="I17">
        <f t="shared" si="6"/>
        <v>0.94129845808538259</v>
      </c>
    </row>
    <row r="18" spans="1:9" x14ac:dyDescent="0.35">
      <c r="A18" s="3" t="s">
        <v>24</v>
      </c>
      <c r="B18" s="3">
        <f t="shared" si="0"/>
        <v>15</v>
      </c>
      <c r="C18" s="3">
        <v>25</v>
      </c>
      <c r="D18" s="4">
        <f t="shared" si="1"/>
        <v>41.296694562653713</v>
      </c>
      <c r="E18" s="4">
        <f t="shared" si="2"/>
        <v>3.7678776549836313</v>
      </c>
      <c r="F18" s="4">
        <f t="shared" si="3"/>
        <v>0.6022663826225676</v>
      </c>
      <c r="G18">
        <f t="shared" si="4"/>
        <v>24.486443394074048</v>
      </c>
      <c r="H18">
        <f t="shared" si="5"/>
        <v>0.51355660592595243</v>
      </c>
      <c r="I18">
        <f t="shared" si="6"/>
        <v>0.26374038749018397</v>
      </c>
    </row>
    <row r="19" spans="1:9" x14ac:dyDescent="0.35">
      <c r="A19" s="5" t="s">
        <v>25</v>
      </c>
      <c r="B19" s="5">
        <f t="shared" si="0"/>
        <v>16</v>
      </c>
      <c r="C19" s="5">
        <v>65</v>
      </c>
      <c r="D19" s="6">
        <f>C$22*C19/F15+(1-C$22)*(D18+E18)</f>
        <v>43.835511384361979</v>
      </c>
      <c r="E19" s="6">
        <f t="shared" si="2"/>
        <v>3.1533472383459489</v>
      </c>
      <c r="F19" s="6">
        <f>E$22*(C19/D19)+(1-E$22)*F15</f>
        <v>1.5042033214176906</v>
      </c>
      <c r="G19" s="7">
        <f>(D18+E18)*F15</f>
        <v>68.750087281601125</v>
      </c>
      <c r="H19" s="7">
        <f>ABS(C19-G19)</f>
        <v>3.7500872816011253</v>
      </c>
      <c r="I19" s="7">
        <f>(C19-G19)^2</f>
        <v>14.063154619626518</v>
      </c>
    </row>
    <row r="21" spans="1:9" x14ac:dyDescent="0.35">
      <c r="C21" s="3" t="s">
        <v>26</v>
      </c>
      <c r="D21" s="3" t="s">
        <v>27</v>
      </c>
      <c r="E21" s="3" t="s">
        <v>28</v>
      </c>
      <c r="H21" s="3" t="s">
        <v>29</v>
      </c>
      <c r="I21" s="3" t="s">
        <v>30</v>
      </c>
    </row>
    <row r="22" spans="1:9" x14ac:dyDescent="0.35">
      <c r="C22" s="8">
        <v>0.5</v>
      </c>
      <c r="D22" s="9">
        <v>0.5</v>
      </c>
      <c r="E22" s="10">
        <v>0.5</v>
      </c>
      <c r="H22" s="8">
        <f>AVERAGE(H4:H19)</f>
        <v>4.7363658068649199</v>
      </c>
      <c r="I22" s="10">
        <f>AVERAGE(I4:I19)</f>
        <v>36.220028042582697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76B5-3F50-4D64-9259-B65A97BAC393}">
  <sheetPr codeName="Sheet20"/>
  <dimension ref="A1:N23"/>
  <sheetViews>
    <sheetView topLeftCell="F1" workbookViewId="0"/>
  </sheetViews>
  <sheetFormatPr defaultRowHeight="14.5" x14ac:dyDescent="0.35"/>
  <cols>
    <col min="1" max="1" width="7.54296875" customWidth="1"/>
    <col min="12" max="13" width="8.7265625" style="3"/>
  </cols>
  <sheetData>
    <row r="1" spans="1:14" x14ac:dyDescent="0.35">
      <c r="A1" s="1" t="s">
        <v>31</v>
      </c>
    </row>
    <row r="3" spans="1:14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K3" s="2" t="s">
        <v>32</v>
      </c>
      <c r="L3" s="2" t="s">
        <v>2</v>
      </c>
      <c r="M3" s="2" t="s">
        <v>3</v>
      </c>
      <c r="N3" s="2" t="s">
        <v>7</v>
      </c>
    </row>
    <row r="4" spans="1:14" x14ac:dyDescent="0.35">
      <c r="A4" s="3" t="s">
        <v>10</v>
      </c>
      <c r="B4" s="3">
        <v>1</v>
      </c>
      <c r="C4" s="3">
        <v>10</v>
      </c>
      <c r="D4" s="4"/>
      <c r="E4" s="4"/>
      <c r="F4" s="4">
        <f>C4/AVERAGE(C$4:C$7)</f>
        <v>0.70175438596491224</v>
      </c>
      <c r="K4" s="3" t="s">
        <v>10</v>
      </c>
      <c r="L4" s="3">
        <v>1</v>
      </c>
      <c r="M4" s="3">
        <v>10</v>
      </c>
      <c r="N4" s="4"/>
    </row>
    <row r="5" spans="1:14" x14ac:dyDescent="0.35">
      <c r="A5" s="3" t="s">
        <v>11</v>
      </c>
      <c r="B5" s="3">
        <f>B4+1</f>
        <v>2</v>
      </c>
      <c r="C5" s="3">
        <v>14</v>
      </c>
      <c r="D5" s="4"/>
      <c r="E5" s="4"/>
      <c r="F5" s="4">
        <f>C5/AVERAGE(C$4:C$7)</f>
        <v>0.98245614035087714</v>
      </c>
      <c r="G5" s="4"/>
      <c r="H5" s="4"/>
      <c r="I5" s="4"/>
      <c r="K5" s="3" t="s">
        <v>11</v>
      </c>
      <c r="L5" s="3">
        <f>L4+1</f>
        <v>2</v>
      </c>
      <c r="M5" s="3">
        <v>14</v>
      </c>
      <c r="N5" s="4"/>
    </row>
    <row r="6" spans="1:14" x14ac:dyDescent="0.35">
      <c r="A6" s="3" t="s">
        <v>12</v>
      </c>
      <c r="B6" s="3">
        <f t="shared" ref="B6:B19" si="0">B5+1</f>
        <v>3</v>
      </c>
      <c r="C6" s="3">
        <v>8</v>
      </c>
      <c r="D6" s="4"/>
      <c r="E6" s="4"/>
      <c r="F6" s="4">
        <f>C6/AVERAGE(C$4:C$7)</f>
        <v>0.56140350877192979</v>
      </c>
      <c r="G6" s="4"/>
      <c r="H6" s="4"/>
      <c r="I6" s="4"/>
      <c r="K6" s="3" t="s">
        <v>12</v>
      </c>
      <c r="L6" s="3">
        <f t="shared" ref="L6:L23" si="1">L5+1</f>
        <v>3</v>
      </c>
      <c r="M6" s="3">
        <v>8</v>
      </c>
      <c r="N6" s="4"/>
    </row>
    <row r="7" spans="1:14" x14ac:dyDescent="0.35">
      <c r="A7" s="3" t="s">
        <v>13</v>
      </c>
      <c r="B7" s="3">
        <f t="shared" si="0"/>
        <v>4</v>
      </c>
      <c r="C7" s="3">
        <v>25</v>
      </c>
      <c r="D7" s="4">
        <f>C7/F7</f>
        <v>14.25</v>
      </c>
      <c r="E7" s="4">
        <v>0</v>
      </c>
      <c r="F7" s="4">
        <f>C7/AVERAGE(C$4:C$7)</f>
        <v>1.7543859649122806</v>
      </c>
      <c r="G7" s="4"/>
      <c r="H7" s="4"/>
      <c r="I7" s="4"/>
      <c r="K7" s="3" t="s">
        <v>13</v>
      </c>
      <c r="L7" s="3">
        <f t="shared" si="1"/>
        <v>4</v>
      </c>
      <c r="M7" s="3">
        <v>25</v>
      </c>
      <c r="N7" s="4"/>
    </row>
    <row r="8" spans="1:14" x14ac:dyDescent="0.35">
      <c r="A8" s="3" t="s">
        <v>14</v>
      </c>
      <c r="B8" s="3">
        <f t="shared" si="0"/>
        <v>5</v>
      </c>
      <c r="C8" s="3">
        <v>16</v>
      </c>
      <c r="D8" s="4">
        <f>C$22*C8/F4+(1-C$22)*(D7+E7)</f>
        <v>18.524999999999999</v>
      </c>
      <c r="E8" s="4">
        <f>D$22*(D8-D7)+(1-D$22)*E7</f>
        <v>2.1374999999999993</v>
      </c>
      <c r="F8" s="4">
        <f>E$22*(C8/D8)+(1-E$22)*F4</f>
        <v>0.78272604588394068</v>
      </c>
      <c r="G8">
        <f>(D7+E7)*F4</f>
        <v>10</v>
      </c>
      <c r="H8">
        <f t="shared" ref="H8:H19" si="2">ABS(C8-G8)</f>
        <v>6</v>
      </c>
      <c r="I8">
        <f t="shared" ref="I8:I19" si="3">(C8-G8)^2</f>
        <v>36</v>
      </c>
      <c r="K8" s="3" t="s">
        <v>14</v>
      </c>
      <c r="L8" s="3">
        <f t="shared" si="1"/>
        <v>5</v>
      </c>
      <c r="M8" s="3">
        <v>16</v>
      </c>
      <c r="N8" s="4">
        <f>G8</f>
        <v>10</v>
      </c>
    </row>
    <row r="9" spans="1:14" x14ac:dyDescent="0.35">
      <c r="A9" s="3" t="s">
        <v>15</v>
      </c>
      <c r="B9" s="3">
        <f t="shared" si="0"/>
        <v>6</v>
      </c>
      <c r="C9" s="3">
        <v>22</v>
      </c>
      <c r="D9" s="4">
        <f t="shared" ref="D9:D19" si="4">C$22*C9/F5+(1-C$22)*(D8+E8)</f>
        <v>21.52767857142857</v>
      </c>
      <c r="E9" s="4">
        <f t="shared" ref="E9:E19" si="5">D$22*(D9-D8)+(1-D$22)*E8</f>
        <v>2.5700892857142854</v>
      </c>
      <c r="F9" s="4">
        <f>E$22*(C9/D9)+(1-E$22)*F5</f>
        <v>1.0021981668118287</v>
      </c>
      <c r="G9">
        <f t="shared" ref="G9:G18" si="6">(D8+E8)*F5</f>
        <v>20.299999999999997</v>
      </c>
      <c r="H9">
        <f t="shared" si="2"/>
        <v>1.7000000000000028</v>
      </c>
      <c r="I9">
        <f t="shared" si="3"/>
        <v>2.8900000000000095</v>
      </c>
      <c r="K9" s="3" t="s">
        <v>15</v>
      </c>
      <c r="L9" s="3">
        <f t="shared" si="1"/>
        <v>6</v>
      </c>
      <c r="M9" s="3">
        <v>22</v>
      </c>
      <c r="N9" s="4">
        <f t="shared" ref="N9:N18" si="7">G9</f>
        <v>20.299999999999997</v>
      </c>
    </row>
    <row r="10" spans="1:14" x14ac:dyDescent="0.35">
      <c r="A10" s="3" t="s">
        <v>16</v>
      </c>
      <c r="B10" s="3">
        <f t="shared" si="0"/>
        <v>7</v>
      </c>
      <c r="C10" s="3">
        <v>14</v>
      </c>
      <c r="D10" s="4">
        <f t="shared" si="4"/>
        <v>24.517633928571428</v>
      </c>
      <c r="E10" s="4">
        <f t="shared" si="5"/>
        <v>2.7800223214285715</v>
      </c>
      <c r="F10" s="4">
        <f t="shared" ref="F10:F19" si="8">E$22*(C10/D10)+(1-E$22)*F6</f>
        <v>0.56621054452425823</v>
      </c>
      <c r="G10">
        <f t="shared" si="6"/>
        <v>13.528571428571427</v>
      </c>
      <c r="H10">
        <f t="shared" si="2"/>
        <v>0.47142857142857331</v>
      </c>
      <c r="I10">
        <f t="shared" si="3"/>
        <v>0.22224489795918545</v>
      </c>
      <c r="K10" s="3" t="s">
        <v>16</v>
      </c>
      <c r="L10" s="3">
        <f t="shared" si="1"/>
        <v>7</v>
      </c>
      <c r="M10" s="3">
        <v>14</v>
      </c>
      <c r="N10" s="4">
        <f t="shared" si="7"/>
        <v>13.528571428571427</v>
      </c>
    </row>
    <row r="11" spans="1:14" x14ac:dyDescent="0.35">
      <c r="A11" s="3" t="s">
        <v>17</v>
      </c>
      <c r="B11" s="3">
        <f t="shared" si="0"/>
        <v>8</v>
      </c>
      <c r="C11" s="3">
        <v>35</v>
      </c>
      <c r="D11" s="4">
        <f t="shared" si="4"/>
        <v>23.623828125000003</v>
      </c>
      <c r="E11" s="4">
        <f t="shared" si="5"/>
        <v>0.94310825892857331</v>
      </c>
      <c r="F11" s="4">
        <f t="shared" si="8"/>
        <v>1.6179704681118441</v>
      </c>
      <c r="G11">
        <f t="shared" si="6"/>
        <v>47.890624999999993</v>
      </c>
      <c r="H11">
        <f t="shared" si="2"/>
        <v>12.890624999999993</v>
      </c>
      <c r="I11">
        <f t="shared" si="3"/>
        <v>166.16821289062483</v>
      </c>
      <c r="K11" s="3" t="s">
        <v>17</v>
      </c>
      <c r="L11" s="3">
        <f t="shared" si="1"/>
        <v>8</v>
      </c>
      <c r="M11" s="3">
        <v>35</v>
      </c>
      <c r="N11" s="4">
        <f t="shared" si="7"/>
        <v>47.890624999999993</v>
      </c>
    </row>
    <row r="12" spans="1:14" x14ac:dyDescent="0.35">
      <c r="A12" s="3" t="s">
        <v>18</v>
      </c>
      <c r="B12" s="3">
        <f t="shared" si="0"/>
        <v>9</v>
      </c>
      <c r="C12" s="3">
        <v>15</v>
      </c>
      <c r="D12" s="4">
        <f t="shared" si="4"/>
        <v>21.865364743688424</v>
      </c>
      <c r="E12" s="4">
        <f t="shared" si="5"/>
        <v>-0.40767756119150267</v>
      </c>
      <c r="F12" s="4">
        <f t="shared" si="8"/>
        <v>0.73437125024194816</v>
      </c>
      <c r="G12">
        <f t="shared" si="6"/>
        <v>19.229180975274733</v>
      </c>
      <c r="H12">
        <f t="shared" si="2"/>
        <v>4.2291809752747334</v>
      </c>
      <c r="I12">
        <f t="shared" si="3"/>
        <v>17.885971721625744</v>
      </c>
      <c r="K12" s="3" t="s">
        <v>18</v>
      </c>
      <c r="L12" s="3">
        <f t="shared" si="1"/>
        <v>9</v>
      </c>
      <c r="M12" s="3">
        <v>15</v>
      </c>
      <c r="N12" s="4">
        <f t="shared" si="7"/>
        <v>19.229180975274733</v>
      </c>
    </row>
    <row r="13" spans="1:14" x14ac:dyDescent="0.35">
      <c r="A13" s="3" t="s">
        <v>19</v>
      </c>
      <c r="B13" s="3">
        <f t="shared" si="0"/>
        <v>10</v>
      </c>
      <c r="C13" s="3">
        <v>27</v>
      </c>
      <c r="D13" s="4">
        <f t="shared" si="4"/>
        <v>24.199233427368306</v>
      </c>
      <c r="E13" s="4">
        <f t="shared" si="5"/>
        <v>0.96309556124418938</v>
      </c>
      <c r="F13" s="4">
        <f t="shared" si="8"/>
        <v>1.0589679944405952</v>
      </c>
      <c r="G13">
        <f t="shared" si="6"/>
        <v>21.504854758320089</v>
      </c>
      <c r="H13">
        <f t="shared" si="2"/>
        <v>5.4951452416799107</v>
      </c>
      <c r="I13">
        <f t="shared" si="3"/>
        <v>30.196621227157365</v>
      </c>
      <c r="K13" s="3" t="s">
        <v>19</v>
      </c>
      <c r="L13" s="3">
        <f t="shared" si="1"/>
        <v>10</v>
      </c>
      <c r="M13" s="3">
        <v>27</v>
      </c>
      <c r="N13" s="4">
        <f t="shared" si="7"/>
        <v>21.504854758320089</v>
      </c>
    </row>
    <row r="14" spans="1:14" x14ac:dyDescent="0.35">
      <c r="A14" s="3" t="s">
        <v>20</v>
      </c>
      <c r="B14" s="3">
        <f t="shared" si="0"/>
        <v>11</v>
      </c>
      <c r="C14" s="3">
        <v>18</v>
      </c>
      <c r="D14" s="4">
        <f t="shared" si="4"/>
        <v>28.476311780130793</v>
      </c>
      <c r="E14" s="4">
        <f t="shared" si="5"/>
        <v>2.6200869570033385</v>
      </c>
      <c r="F14" s="4">
        <f t="shared" si="8"/>
        <v>0.59915743763699014</v>
      </c>
      <c r="G14">
        <f t="shared" si="6"/>
        <v>14.247175998140808</v>
      </c>
      <c r="H14">
        <f t="shared" si="2"/>
        <v>3.7528240018591923</v>
      </c>
      <c r="I14">
        <f t="shared" si="3"/>
        <v>14.083687988930443</v>
      </c>
      <c r="K14" s="3" t="s">
        <v>20</v>
      </c>
      <c r="L14" s="3">
        <f t="shared" si="1"/>
        <v>11</v>
      </c>
      <c r="M14" s="3">
        <v>18</v>
      </c>
      <c r="N14" s="4">
        <f t="shared" si="7"/>
        <v>14.247175998140808</v>
      </c>
    </row>
    <row r="15" spans="1:14" x14ac:dyDescent="0.35">
      <c r="A15" s="3" t="s">
        <v>21</v>
      </c>
      <c r="B15" s="3">
        <f t="shared" si="0"/>
        <v>12</v>
      </c>
      <c r="C15" s="3">
        <v>40</v>
      </c>
      <c r="D15" s="4">
        <f t="shared" si="4"/>
        <v>27.909364417110755</v>
      </c>
      <c r="E15" s="4">
        <f t="shared" si="5"/>
        <v>1.0265697969916503</v>
      </c>
      <c r="F15" s="4">
        <f t="shared" si="8"/>
        <v>1.5255905892011055</v>
      </c>
      <c r="G15">
        <f t="shared" si="6"/>
        <v>50.313054821313465</v>
      </c>
      <c r="H15">
        <f t="shared" si="2"/>
        <v>10.313054821313465</v>
      </c>
      <c r="I15">
        <f t="shared" si="3"/>
        <v>106.35909974741689</v>
      </c>
      <c r="K15" s="3" t="s">
        <v>21</v>
      </c>
      <c r="L15" s="3">
        <f t="shared" si="1"/>
        <v>12</v>
      </c>
      <c r="M15" s="3">
        <v>40</v>
      </c>
      <c r="N15" s="4">
        <f t="shared" si="7"/>
        <v>50.313054821313465</v>
      </c>
    </row>
    <row r="16" spans="1:14" x14ac:dyDescent="0.35">
      <c r="A16" s="3" t="s">
        <v>22</v>
      </c>
      <c r="B16" s="3">
        <f t="shared" si="0"/>
        <v>13</v>
      </c>
      <c r="C16" s="3">
        <v>28</v>
      </c>
      <c r="D16" s="4">
        <f t="shared" si="4"/>
        <v>33.531894235717417</v>
      </c>
      <c r="E16" s="4">
        <f t="shared" si="5"/>
        <v>3.3245498077991558</v>
      </c>
      <c r="F16" s="4">
        <f t="shared" si="8"/>
        <v>0.7846985726921708</v>
      </c>
      <c r="G16">
        <f t="shared" si="6"/>
        <v>21.249718185729147</v>
      </c>
      <c r="H16">
        <f t="shared" si="2"/>
        <v>6.7502818142708527</v>
      </c>
      <c r="I16">
        <f t="shared" si="3"/>
        <v>45.566304572075794</v>
      </c>
      <c r="K16" s="3" t="s">
        <v>22</v>
      </c>
      <c r="L16" s="3">
        <f t="shared" si="1"/>
        <v>13</v>
      </c>
      <c r="M16" s="3">
        <v>28</v>
      </c>
      <c r="N16" s="4">
        <f t="shared" si="7"/>
        <v>21.249718185729147</v>
      </c>
    </row>
    <row r="17" spans="1:14" x14ac:dyDescent="0.35">
      <c r="A17" s="3" t="s">
        <v>23</v>
      </c>
      <c r="B17" s="3">
        <f t="shared" si="0"/>
        <v>14</v>
      </c>
      <c r="C17" s="3">
        <v>40</v>
      </c>
      <c r="D17" s="4">
        <f t="shared" si="4"/>
        <v>37.314534077454638</v>
      </c>
      <c r="E17" s="4">
        <f t="shared" si="5"/>
        <v>3.5535948247681888</v>
      </c>
      <c r="F17" s="4">
        <f t="shared" si="8"/>
        <v>1.0654681785713374</v>
      </c>
      <c r="G17">
        <f t="shared" si="6"/>
        <v>39.02979463097477</v>
      </c>
      <c r="H17">
        <f t="shared" si="2"/>
        <v>0.97020536902522991</v>
      </c>
      <c r="I17">
        <f t="shared" si="3"/>
        <v>0.94129845808538259</v>
      </c>
      <c r="K17" s="3" t="s">
        <v>23</v>
      </c>
      <c r="L17" s="3">
        <f t="shared" si="1"/>
        <v>14</v>
      </c>
      <c r="M17" s="3">
        <v>40</v>
      </c>
      <c r="N17" s="4">
        <f t="shared" si="7"/>
        <v>39.02979463097477</v>
      </c>
    </row>
    <row r="18" spans="1:14" x14ac:dyDescent="0.35">
      <c r="A18" s="3" t="s">
        <v>24</v>
      </c>
      <c r="B18" s="3">
        <f t="shared" si="0"/>
        <v>15</v>
      </c>
      <c r="C18" s="3">
        <v>25</v>
      </c>
      <c r="D18" s="4">
        <f t="shared" si="4"/>
        <v>41.296694562653713</v>
      </c>
      <c r="E18" s="4">
        <f t="shared" si="5"/>
        <v>3.7678776549836313</v>
      </c>
      <c r="F18" s="4">
        <f t="shared" si="8"/>
        <v>0.6022663826225676</v>
      </c>
      <c r="G18">
        <f t="shared" si="6"/>
        <v>24.486443394074048</v>
      </c>
      <c r="H18">
        <f t="shared" si="2"/>
        <v>0.51355660592595243</v>
      </c>
      <c r="I18">
        <f t="shared" si="3"/>
        <v>0.26374038749018397</v>
      </c>
      <c r="K18" s="3" t="s">
        <v>24</v>
      </c>
      <c r="L18" s="3">
        <f t="shared" si="1"/>
        <v>15</v>
      </c>
      <c r="M18" s="3">
        <v>25</v>
      </c>
      <c r="N18" s="4">
        <f t="shared" si="7"/>
        <v>24.486443394074048</v>
      </c>
    </row>
    <row r="19" spans="1:14" x14ac:dyDescent="0.35">
      <c r="A19" s="5" t="s">
        <v>25</v>
      </c>
      <c r="B19" s="5">
        <f t="shared" si="0"/>
        <v>16</v>
      </c>
      <c r="C19" s="5">
        <v>65</v>
      </c>
      <c r="D19" s="6">
        <f t="shared" si="4"/>
        <v>43.835511384361979</v>
      </c>
      <c r="E19" s="6">
        <f t="shared" si="5"/>
        <v>3.1533472383459489</v>
      </c>
      <c r="F19" s="6">
        <f t="shared" si="8"/>
        <v>1.5042033214176906</v>
      </c>
      <c r="G19" s="7">
        <f>(D18+E18)*F15</f>
        <v>68.750087281601125</v>
      </c>
      <c r="H19" s="7">
        <f t="shared" si="2"/>
        <v>3.7500872816011253</v>
      </c>
      <c r="I19" s="7">
        <f t="shared" si="3"/>
        <v>14.063154619626518</v>
      </c>
      <c r="K19" s="3" t="s">
        <v>25</v>
      </c>
      <c r="L19" s="3">
        <f t="shared" si="1"/>
        <v>16</v>
      </c>
      <c r="M19" s="3">
        <v>65</v>
      </c>
      <c r="N19" s="4">
        <f>(D18+E18)*F15</f>
        <v>68.750087281601125</v>
      </c>
    </row>
    <row r="20" spans="1:14" x14ac:dyDescent="0.35">
      <c r="K20" s="3" t="s">
        <v>33</v>
      </c>
      <c r="L20" s="3">
        <f t="shared" si="1"/>
        <v>17</v>
      </c>
      <c r="N20" s="4">
        <f>(D$19+(L20-L$19)*E$19)*F16</f>
        <v>36.872090293673118</v>
      </c>
    </row>
    <row r="21" spans="1:14" x14ac:dyDescent="0.35">
      <c r="C21" s="3" t="s">
        <v>26</v>
      </c>
      <c r="D21" s="3" t="s">
        <v>27</v>
      </c>
      <c r="E21" s="3" t="s">
        <v>28</v>
      </c>
      <c r="H21" s="3" t="s">
        <v>29</v>
      </c>
      <c r="I21" s="3" t="s">
        <v>30</v>
      </c>
      <c r="K21" s="3" t="s">
        <v>34</v>
      </c>
      <c r="L21" s="3">
        <f t="shared" si="1"/>
        <v>18</v>
      </c>
      <c r="N21" s="4">
        <f>(D$19+(L21-L$19)*E$19)*F17</f>
        <v>53.424924748326106</v>
      </c>
    </row>
    <row r="22" spans="1:14" x14ac:dyDescent="0.35">
      <c r="C22" s="8">
        <v>0.5</v>
      </c>
      <c r="D22" s="9">
        <v>0.5</v>
      </c>
      <c r="E22" s="10">
        <v>0.5</v>
      </c>
      <c r="H22" s="8">
        <f>AVERAGE(H4:H19)</f>
        <v>4.7363658068649199</v>
      </c>
      <c r="I22" s="10">
        <f>AVERAGE(I4:I19)</f>
        <v>36.220028042582697</v>
      </c>
      <c r="K22" s="3" t="s">
        <v>35</v>
      </c>
      <c r="L22" s="3">
        <f t="shared" si="1"/>
        <v>19</v>
      </c>
      <c r="N22" s="4">
        <f>(D$19+(L22-L$19)*E$19)*F18</f>
        <v>32.098119975044504</v>
      </c>
    </row>
    <row r="23" spans="1:14" x14ac:dyDescent="0.35">
      <c r="K23" s="5" t="s">
        <v>36</v>
      </c>
      <c r="L23" s="5">
        <f t="shared" si="1"/>
        <v>20</v>
      </c>
      <c r="M23" s="5"/>
      <c r="N23" s="6">
        <f>(D$19+(L23-L$19)*E$19)*F19</f>
        <v>84.910623378413391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866B-A43A-4AFB-87FD-76E579E1C374}">
  <sheetPr codeName="Sheet21"/>
  <dimension ref="A1:I22"/>
  <sheetViews>
    <sheetView workbookViewId="0"/>
  </sheetViews>
  <sheetFormatPr defaultRowHeight="14.5" x14ac:dyDescent="0.35"/>
  <cols>
    <col min="1" max="1" width="7.54296875" customWidth="1"/>
    <col min="2" max="2" width="6.1796875" customWidth="1"/>
  </cols>
  <sheetData>
    <row r="1" spans="1:9" x14ac:dyDescent="0.35">
      <c r="A1" s="1" t="s">
        <v>31</v>
      </c>
    </row>
    <row r="3" spans="1:9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35">
      <c r="A4" s="3" t="s">
        <v>37</v>
      </c>
      <c r="B4" s="3">
        <v>1</v>
      </c>
      <c r="C4" s="3">
        <v>10</v>
      </c>
      <c r="D4" s="4"/>
      <c r="E4" s="4"/>
      <c r="F4" s="4">
        <f>C4/AVERAGE(C$4:C$7)</f>
        <v>0.70175438596491224</v>
      </c>
    </row>
    <row r="5" spans="1:9" x14ac:dyDescent="0.35">
      <c r="A5" s="3" t="s">
        <v>38</v>
      </c>
      <c r="B5" s="3">
        <f>B4+1</f>
        <v>2</v>
      </c>
      <c r="C5" s="3">
        <v>14</v>
      </c>
      <c r="D5" s="4"/>
      <c r="E5" s="4"/>
      <c r="F5" s="4">
        <f>C5/AVERAGE(C$4:C$7)</f>
        <v>0.98245614035087714</v>
      </c>
      <c r="G5" s="4"/>
      <c r="H5" s="4"/>
      <c r="I5" s="4"/>
    </row>
    <row r="6" spans="1:9" x14ac:dyDescent="0.35">
      <c r="A6" s="3" t="s">
        <v>39</v>
      </c>
      <c r="B6" s="3">
        <f t="shared" ref="B6:B19" si="0">B5+1</f>
        <v>3</v>
      </c>
      <c r="C6" s="3">
        <v>8</v>
      </c>
      <c r="D6" s="4"/>
      <c r="E6" s="4"/>
      <c r="F6" s="4">
        <f>C6/AVERAGE(C$4:C$7)</f>
        <v>0.56140350877192979</v>
      </c>
      <c r="G6" s="4"/>
      <c r="H6" s="4"/>
      <c r="I6" s="4"/>
    </row>
    <row r="7" spans="1:9" x14ac:dyDescent="0.35">
      <c r="A7" s="3" t="s">
        <v>40</v>
      </c>
      <c r="B7" s="3">
        <f t="shared" si="0"/>
        <v>4</v>
      </c>
      <c r="C7" s="3">
        <v>25</v>
      </c>
      <c r="D7" s="4">
        <f>C7/F7</f>
        <v>14.25</v>
      </c>
      <c r="E7" s="4">
        <v>0</v>
      </c>
      <c r="F7" s="4">
        <f>C7/AVERAGE(C$4:C$7)</f>
        <v>1.7543859649122806</v>
      </c>
      <c r="G7" s="4"/>
      <c r="H7" s="4"/>
      <c r="I7" s="4"/>
    </row>
    <row r="8" spans="1:9" x14ac:dyDescent="0.35">
      <c r="A8" s="3" t="s">
        <v>37</v>
      </c>
      <c r="B8" s="3">
        <f t="shared" si="0"/>
        <v>5</v>
      </c>
      <c r="C8" s="3">
        <v>16</v>
      </c>
      <c r="D8" s="4">
        <f>C$22*C8/F4+(1-C$22)*(D7+E7)</f>
        <v>15.824264435918867</v>
      </c>
      <c r="E8" s="4">
        <f>D$22*(D8-D7)+(1-D$22)*E7</f>
        <v>0.69229210282652887</v>
      </c>
      <c r="F8" s="4">
        <f>E$22*(C8/D8)+(1-E$22)*F4</f>
        <v>0.83105522227948736</v>
      </c>
      <c r="G8">
        <f>(D7+E7)*F4</f>
        <v>10</v>
      </c>
      <c r="H8">
        <f t="shared" ref="H8:H19" si="1">ABS(C8-G8)</f>
        <v>6</v>
      </c>
      <c r="I8">
        <f t="shared" ref="I8:I19" si="2">(C8-G8)^2</f>
        <v>36</v>
      </c>
    </row>
    <row r="9" spans="1:9" x14ac:dyDescent="0.35">
      <c r="A9" s="3" t="s">
        <v>38</v>
      </c>
      <c r="B9" s="3">
        <f t="shared" si="0"/>
        <v>6</v>
      </c>
      <c r="C9" s="3">
        <v>22</v>
      </c>
      <c r="D9" s="4">
        <f t="shared" ref="D9:D19" si="3">C$22*C9/F5+(1-C$22)*(D8+E8)</f>
        <v>17.598527422467228</v>
      </c>
      <c r="E9" s="4">
        <f t="shared" ref="E9:E19" si="4">D$22*(D9-D8)+(1-D$22)*E8</f>
        <v>1.1680952024828237</v>
      </c>
      <c r="F9" s="4">
        <f t="shared" ref="F9:F19" si="5">E$22*(C9/D9)+(1-E$22)*F5</f>
        <v>1.0943263524545683</v>
      </c>
      <c r="G9">
        <f t="shared" ref="G9:G19" si="6">(D8+E8)*F5</f>
        <v>16.226792388942844</v>
      </c>
      <c r="H9">
        <f t="shared" si="1"/>
        <v>5.7732076110571562</v>
      </c>
      <c r="I9">
        <f t="shared" si="2"/>
        <v>33.329926120368278</v>
      </c>
    </row>
    <row r="10" spans="1:9" x14ac:dyDescent="0.35">
      <c r="A10" s="3" t="s">
        <v>39</v>
      </c>
      <c r="B10" s="3">
        <f t="shared" si="0"/>
        <v>7</v>
      </c>
      <c r="C10" s="3">
        <v>14</v>
      </c>
      <c r="D10" s="4">
        <f t="shared" si="3"/>
        <v>19.902832307986021</v>
      </c>
      <c r="E10" s="4">
        <f t="shared" si="4"/>
        <v>1.6677501351445774</v>
      </c>
      <c r="F10" s="4">
        <f t="shared" si="5"/>
        <v>0.62076171528409418</v>
      </c>
      <c r="G10">
        <f t="shared" si="6"/>
        <v>10.535647789445642</v>
      </c>
      <c r="H10">
        <f t="shared" si="1"/>
        <v>3.4643522105543578</v>
      </c>
      <c r="I10">
        <f t="shared" si="2"/>
        <v>12.001736238772866</v>
      </c>
    </row>
    <row r="11" spans="1:9" x14ac:dyDescent="0.35">
      <c r="A11" s="3" t="s">
        <v>40</v>
      </c>
      <c r="B11" s="3">
        <f t="shared" si="0"/>
        <v>8</v>
      </c>
      <c r="C11" s="3">
        <v>35</v>
      </c>
      <c r="D11" s="4">
        <f t="shared" si="3"/>
        <v>21.272193518487907</v>
      </c>
      <c r="E11" s="4">
        <f t="shared" si="4"/>
        <v>1.536531839547076</v>
      </c>
      <c r="F11" s="4">
        <f t="shared" si="5"/>
        <v>1.7088077183010313</v>
      </c>
      <c r="G11">
        <f t="shared" si="6"/>
        <v>37.843127093211571</v>
      </c>
      <c r="H11">
        <f t="shared" si="1"/>
        <v>2.8431270932115709</v>
      </c>
      <c r="I11">
        <f t="shared" si="2"/>
        <v>8.083371668153676</v>
      </c>
    </row>
    <row r="12" spans="1:9" x14ac:dyDescent="0.35">
      <c r="A12" s="3" t="s">
        <v>37</v>
      </c>
      <c r="B12" s="3">
        <f t="shared" si="0"/>
        <v>9</v>
      </c>
      <c r="C12" s="3">
        <v>15</v>
      </c>
      <c r="D12" s="4">
        <f t="shared" si="3"/>
        <v>21.9324063146775</v>
      </c>
      <c r="E12" s="4">
        <f t="shared" si="4"/>
        <v>1.1511653538214532</v>
      </c>
      <c r="F12" s="4">
        <f t="shared" si="5"/>
        <v>0.7695562448009905</v>
      </c>
      <c r="G12">
        <f t="shared" si="6"/>
        <v>18.955310322333542</v>
      </c>
      <c r="H12">
        <f t="shared" si="1"/>
        <v>3.955310322333542</v>
      </c>
      <c r="I12">
        <f t="shared" si="2"/>
        <v>15.644479745958268</v>
      </c>
    </row>
    <row r="13" spans="1:9" x14ac:dyDescent="0.35">
      <c r="A13" s="3" t="s">
        <v>38</v>
      </c>
      <c r="B13" s="3">
        <f t="shared" si="0"/>
        <v>10</v>
      </c>
      <c r="C13" s="3">
        <v>27</v>
      </c>
      <c r="D13" s="4">
        <f t="shared" si="3"/>
        <v>23.376171510550094</v>
      </c>
      <c r="E13" s="4">
        <f t="shared" si="4"/>
        <v>1.2798378660871967</v>
      </c>
      <c r="F13" s="4">
        <f t="shared" si="5"/>
        <v>1.1196957179539009</v>
      </c>
      <c r="G13">
        <f t="shared" si="6"/>
        <v>25.260960785612074</v>
      </c>
      <c r="H13">
        <f t="shared" si="1"/>
        <v>1.7390392143879261</v>
      </c>
      <c r="I13">
        <f t="shared" si="2"/>
        <v>3.0242573891789752</v>
      </c>
    </row>
    <row r="14" spans="1:9" x14ac:dyDescent="0.35">
      <c r="A14" s="3" t="s">
        <v>39</v>
      </c>
      <c r="B14" s="3">
        <f t="shared" si="0"/>
        <v>11</v>
      </c>
      <c r="C14" s="3">
        <v>18</v>
      </c>
      <c r="D14" s="4">
        <f t="shared" si="3"/>
        <v>25.455224618348474</v>
      </c>
      <c r="E14" s="4">
        <f t="shared" si="4"/>
        <v>1.6312974987074962</v>
      </c>
      <c r="F14" s="4">
        <f t="shared" si="5"/>
        <v>0.6568589384177792</v>
      </c>
      <c r="G14">
        <f t="shared" si="6"/>
        <v>15.305506672702073</v>
      </c>
      <c r="H14">
        <f t="shared" si="1"/>
        <v>2.694493327297927</v>
      </c>
      <c r="I14">
        <f t="shared" si="2"/>
        <v>7.2602942908530537</v>
      </c>
    </row>
    <row r="15" spans="1:9" x14ac:dyDescent="0.35">
      <c r="A15" s="3" t="s">
        <v>40</v>
      </c>
      <c r="B15" s="3">
        <f t="shared" si="0"/>
        <v>12</v>
      </c>
      <c r="C15" s="3">
        <v>40</v>
      </c>
      <c r="D15" s="4">
        <f t="shared" si="3"/>
        <v>26.40924075559888</v>
      </c>
      <c r="E15" s="4">
        <f t="shared" si="4"/>
        <v>1.3334590115827651</v>
      </c>
      <c r="F15" s="4">
        <f t="shared" si="5"/>
        <v>1.6276427822445303</v>
      </c>
      <c r="G15">
        <f t="shared" si="6"/>
        <v>46.28565805555683</v>
      </c>
      <c r="H15">
        <f t="shared" si="1"/>
        <v>6.28565805555683</v>
      </c>
      <c r="I15">
        <f t="shared" si="2"/>
        <v>39.509497191386465</v>
      </c>
    </row>
    <row r="16" spans="1:9" x14ac:dyDescent="0.35">
      <c r="A16" s="3" t="s">
        <v>37</v>
      </c>
      <c r="B16" s="3">
        <f t="shared" si="0"/>
        <v>13</v>
      </c>
      <c r="C16" s="3">
        <v>28</v>
      </c>
      <c r="D16" s="4">
        <f t="shared" si="3"/>
        <v>29.333886209546684</v>
      </c>
      <c r="E16" s="4">
        <f t="shared" si="4"/>
        <v>2.0331926668952502</v>
      </c>
      <c r="F16" s="4">
        <f t="shared" si="5"/>
        <v>0.84686948572977871</v>
      </c>
      <c r="G16">
        <f t="shared" si="6"/>
        <v>21.349567853473619</v>
      </c>
      <c r="H16">
        <f t="shared" si="1"/>
        <v>6.6504321465263807</v>
      </c>
      <c r="I16">
        <f t="shared" si="2"/>
        <v>44.228247735551484</v>
      </c>
    </row>
    <row r="17" spans="1:9" x14ac:dyDescent="0.35">
      <c r="A17" s="3" t="s">
        <v>38</v>
      </c>
      <c r="B17" s="3">
        <f t="shared" si="0"/>
        <v>14</v>
      </c>
      <c r="C17" s="3">
        <v>40</v>
      </c>
      <c r="D17" s="4">
        <f t="shared" si="3"/>
        <v>32.169293163779514</v>
      </c>
      <c r="E17" s="4">
        <f t="shared" si="4"/>
        <v>2.3859711475793182</v>
      </c>
      <c r="F17" s="4">
        <f t="shared" si="5"/>
        <v>1.1714100520438095</v>
      </c>
      <c r="G17">
        <f t="shared" si="6"/>
        <v>35.121583902674288</v>
      </c>
      <c r="H17">
        <f t="shared" si="1"/>
        <v>4.8784160973257116</v>
      </c>
      <c r="I17">
        <f t="shared" si="2"/>
        <v>23.798943618646625</v>
      </c>
    </row>
    <row r="18" spans="1:9" x14ac:dyDescent="0.35">
      <c r="A18" s="3" t="s">
        <v>39</v>
      </c>
      <c r="B18" s="3">
        <f t="shared" si="0"/>
        <v>15</v>
      </c>
      <c r="C18" s="3">
        <v>25</v>
      </c>
      <c r="D18" s="4">
        <f t="shared" si="3"/>
        <v>35.200557650812314</v>
      </c>
      <c r="E18" s="4">
        <f t="shared" si="4"/>
        <v>2.6697427127099607</v>
      </c>
      <c r="F18" s="4">
        <f t="shared" si="5"/>
        <v>0.67916083504104507</v>
      </c>
      <c r="G18">
        <f t="shared" si="6"/>
        <v>22.697934232304934</v>
      </c>
      <c r="H18">
        <f t="shared" si="1"/>
        <v>2.3020657676950655</v>
      </c>
      <c r="I18">
        <f t="shared" si="2"/>
        <v>5.2995067987934714</v>
      </c>
    </row>
    <row r="19" spans="1:9" x14ac:dyDescent="0.35">
      <c r="A19" s="5" t="s">
        <v>40</v>
      </c>
      <c r="B19" s="5">
        <f t="shared" si="0"/>
        <v>16</v>
      </c>
      <c r="C19" s="5">
        <v>65</v>
      </c>
      <c r="D19" s="6">
        <f t="shared" si="3"/>
        <v>38.250471813341825</v>
      </c>
      <c r="E19" s="6">
        <f t="shared" si="4"/>
        <v>2.8369253577759199</v>
      </c>
      <c r="F19" s="6">
        <f t="shared" si="5"/>
        <v>1.6576043024262992</v>
      </c>
      <c r="G19" s="7">
        <f t="shared" si="6"/>
        <v>61.639321048119442</v>
      </c>
      <c r="H19" s="7">
        <f t="shared" si="1"/>
        <v>3.3606789518805584</v>
      </c>
      <c r="I19" s="7">
        <f t="shared" si="2"/>
        <v>11.294163017613009</v>
      </c>
    </row>
    <row r="21" spans="1:9" x14ac:dyDescent="0.35">
      <c r="C21" s="3" t="s">
        <v>26</v>
      </c>
      <c r="D21" s="3" t="s">
        <v>27</v>
      </c>
      <c r="E21" s="3" t="s">
        <v>28</v>
      </c>
      <c r="F21" s="11"/>
      <c r="H21" s="3" t="s">
        <v>29</v>
      </c>
      <c r="I21" s="3" t="s">
        <v>30</v>
      </c>
    </row>
    <row r="22" spans="1:9" x14ac:dyDescent="0.35">
      <c r="C22" s="8">
        <v>0.18412449542910739</v>
      </c>
      <c r="D22" s="9">
        <v>0.43975591840290279</v>
      </c>
      <c r="E22" s="10">
        <v>0.41797443649270022</v>
      </c>
      <c r="H22" s="8">
        <f>AVERAGE(H4:H19)</f>
        <v>4.1622317331522529</v>
      </c>
      <c r="I22" s="10">
        <f>AVERAGE(I4:I19)</f>
        <v>19.956201984606349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212C-DFEC-403B-9427-B874B0DA053C}">
  <sheetPr codeName="Sheet92"/>
  <dimension ref="A1:K28"/>
  <sheetViews>
    <sheetView zoomScaleNormal="100" workbookViewId="0">
      <selection activeCell="E1" sqref="E1"/>
    </sheetView>
  </sheetViews>
  <sheetFormatPr defaultRowHeight="14.5" x14ac:dyDescent="0.35"/>
  <cols>
    <col min="2" max="2" width="7.54296875" customWidth="1"/>
  </cols>
  <sheetData>
    <row r="1" spans="1:10" x14ac:dyDescent="0.35">
      <c r="A1" s="1" t="s">
        <v>41</v>
      </c>
      <c r="E1" t="s">
        <v>42</v>
      </c>
    </row>
    <row r="2" spans="1:10" ht="15" thickBot="1" x14ac:dyDescent="0.4"/>
    <row r="3" spans="1:10" ht="15" thickTop="1" x14ac:dyDescent="0.35">
      <c r="A3" s="2" t="s">
        <v>2</v>
      </c>
      <c r="B3" s="2" t="s">
        <v>1</v>
      </c>
      <c r="C3" s="2" t="s">
        <v>3</v>
      </c>
      <c r="E3" s="12" t="str">
        <f>B3</f>
        <v>qtr</v>
      </c>
      <c r="F3" s="12" t="str">
        <f>C3</f>
        <v>y</v>
      </c>
      <c r="G3" s="12" t="s">
        <v>4</v>
      </c>
      <c r="H3" s="12" t="s">
        <v>5</v>
      </c>
      <c r="I3" s="12" t="s">
        <v>6</v>
      </c>
      <c r="J3" s="12" t="s">
        <v>43</v>
      </c>
    </row>
    <row r="4" spans="1:10" x14ac:dyDescent="0.35">
      <c r="A4" s="3">
        <v>1</v>
      </c>
      <c r="B4" s="3" t="s">
        <v>10</v>
      </c>
      <c r="C4" s="3">
        <v>10</v>
      </c>
      <c r="E4" s="3" t="str">
        <f>B4</f>
        <v>10 Q1</v>
      </c>
      <c r="F4" s="3">
        <f>C4</f>
        <v>10</v>
      </c>
      <c r="I4">
        <f>F4/AVERAGE($F$4:$F$7)</f>
        <v>0.70175438596491224</v>
      </c>
    </row>
    <row r="5" spans="1:10" x14ac:dyDescent="0.35">
      <c r="A5" s="3">
        <f>A4+1</f>
        <v>2</v>
      </c>
      <c r="B5" s="3" t="s">
        <v>11</v>
      </c>
      <c r="C5" s="3">
        <v>14</v>
      </c>
      <c r="E5" s="3" t="str">
        <f t="shared" ref="E5:F19" si="0">B5</f>
        <v>10 Q2</v>
      </c>
      <c r="F5" s="3">
        <f t="shared" si="0"/>
        <v>14</v>
      </c>
      <c r="I5">
        <f>F5/AVERAGE($F$4:$F$7)</f>
        <v>0.98245614035087714</v>
      </c>
    </row>
    <row r="6" spans="1:10" x14ac:dyDescent="0.35">
      <c r="A6" s="3">
        <f t="shared" ref="A6:A19" si="1">A5+1</f>
        <v>3</v>
      </c>
      <c r="B6" s="3" t="s">
        <v>12</v>
      </c>
      <c r="C6" s="3">
        <v>8</v>
      </c>
      <c r="E6" s="3" t="str">
        <f t="shared" si="0"/>
        <v>10 Q3</v>
      </c>
      <c r="F6" s="3">
        <f t="shared" si="0"/>
        <v>8</v>
      </c>
      <c r="I6">
        <f>F6/AVERAGE($F$4:$F$7)</f>
        <v>0.56140350877192979</v>
      </c>
    </row>
    <row r="7" spans="1:10" x14ac:dyDescent="0.35">
      <c r="A7" s="3">
        <f t="shared" si="1"/>
        <v>4</v>
      </c>
      <c r="B7" s="3" t="s">
        <v>13</v>
      </c>
      <c r="C7" s="3">
        <v>25</v>
      </c>
      <c r="E7" s="3" t="str">
        <f t="shared" si="0"/>
        <v>10 Q4</v>
      </c>
      <c r="F7" s="3">
        <f t="shared" si="0"/>
        <v>25</v>
      </c>
      <c r="G7">
        <f>F7/I7</f>
        <v>14.25</v>
      </c>
      <c r="H7">
        <f>(AVERAGE(F8:F11)-AVERAGE(F4:F7))/4</f>
        <v>1.875</v>
      </c>
      <c r="I7">
        <f>F7/AVERAGE($F$4:$F$7)</f>
        <v>1.7543859649122806</v>
      </c>
    </row>
    <row r="8" spans="1:10" x14ac:dyDescent="0.35">
      <c r="A8" s="3">
        <f t="shared" si="1"/>
        <v>5</v>
      </c>
      <c r="B8" s="3" t="s">
        <v>14</v>
      </c>
      <c r="C8" s="3">
        <v>16</v>
      </c>
      <c r="E8" s="3" t="str">
        <f t="shared" si="0"/>
        <v>11 Q1</v>
      </c>
      <c r="F8" s="3">
        <f t="shared" si="0"/>
        <v>16</v>
      </c>
      <c r="G8">
        <f t="shared" ref="G8:G19" si="2">$F$28*F8/I4+(1-$F$28)*(G7+H7)</f>
        <v>19.462499999999999</v>
      </c>
      <c r="H8">
        <f>$G$28*(G8-G7)+(1-$G$28)*H7</f>
        <v>3.5437499999999993</v>
      </c>
      <c r="I8">
        <f>$H$28*(F8/G8)+(1-$H$28)*I4</f>
        <v>0.7619240780177805</v>
      </c>
      <c r="J8">
        <f>(G7+H7)*I4</f>
        <v>11.315789473684211</v>
      </c>
    </row>
    <row r="9" spans="1:10" x14ac:dyDescent="0.35">
      <c r="A9" s="3">
        <f t="shared" si="1"/>
        <v>6</v>
      </c>
      <c r="B9" s="3" t="s">
        <v>15</v>
      </c>
      <c r="C9" s="3">
        <v>22</v>
      </c>
      <c r="E9" s="3" t="str">
        <f t="shared" si="0"/>
        <v>11 Q2</v>
      </c>
      <c r="F9" s="3">
        <f t="shared" si="0"/>
        <v>22</v>
      </c>
      <c r="G9">
        <f t="shared" si="2"/>
        <v>22.69955357142857</v>
      </c>
      <c r="H9">
        <f t="shared" ref="H9:H19" si="3">$G$28*(G9-G8)+(1-$G$28)*H8</f>
        <v>3.3904017857142854</v>
      </c>
      <c r="I9">
        <f t="shared" ref="I9:I19" si="4">$H$28*(F9/G9)+(1-$H$28)*I5</f>
        <v>0.97581909816135715</v>
      </c>
      <c r="J9">
        <f t="shared" ref="J9:J19" si="5">(G8+H8)*I5</f>
        <v>22.602631578947364</v>
      </c>
    </row>
    <row r="10" spans="1:10" x14ac:dyDescent="0.35">
      <c r="A10" s="3">
        <f t="shared" si="1"/>
        <v>7</v>
      </c>
      <c r="B10" s="3" t="s">
        <v>16</v>
      </c>
      <c r="C10" s="3">
        <v>14</v>
      </c>
      <c r="E10" s="3" t="str">
        <f t="shared" si="0"/>
        <v>11 Q3</v>
      </c>
      <c r="F10" s="3">
        <f t="shared" si="0"/>
        <v>14</v>
      </c>
      <c r="G10">
        <f t="shared" si="2"/>
        <v>25.513727678571428</v>
      </c>
      <c r="H10">
        <f t="shared" si="3"/>
        <v>3.1022879464285715</v>
      </c>
      <c r="I10">
        <f t="shared" si="4"/>
        <v>0.55506385812038661</v>
      </c>
      <c r="J10">
        <f t="shared" si="5"/>
        <v>14.646992481203005</v>
      </c>
    </row>
    <row r="11" spans="1:10" x14ac:dyDescent="0.35">
      <c r="A11" s="3">
        <f t="shared" si="1"/>
        <v>8</v>
      </c>
      <c r="B11" s="3" t="s">
        <v>17</v>
      </c>
      <c r="C11" s="3">
        <v>35</v>
      </c>
      <c r="E11" s="3" t="str">
        <f t="shared" si="0"/>
        <v>11 Q4</v>
      </c>
      <c r="F11" s="3">
        <f t="shared" si="0"/>
        <v>35</v>
      </c>
      <c r="G11">
        <f t="shared" si="2"/>
        <v>24.283007812500003</v>
      </c>
      <c r="H11">
        <f t="shared" si="3"/>
        <v>0.93578404017857331</v>
      </c>
      <c r="I11">
        <f t="shared" si="4"/>
        <v>1.5978615312259365</v>
      </c>
      <c r="J11">
        <f t="shared" si="5"/>
        <v>50.20353618421052</v>
      </c>
    </row>
    <row r="12" spans="1:10" x14ac:dyDescent="0.35">
      <c r="A12" s="3">
        <f t="shared" si="1"/>
        <v>9</v>
      </c>
      <c r="B12" s="3" t="s">
        <v>18</v>
      </c>
      <c r="C12" s="3">
        <v>15</v>
      </c>
      <c r="E12" s="3" t="str">
        <f t="shared" si="0"/>
        <v>12 Q1</v>
      </c>
      <c r="F12" s="3">
        <f t="shared" si="0"/>
        <v>15</v>
      </c>
      <c r="G12">
        <f t="shared" si="2"/>
        <v>22.45289636999501</v>
      </c>
      <c r="H12">
        <f t="shared" si="3"/>
        <v>-0.44716370116320991</v>
      </c>
      <c r="I12">
        <f t="shared" si="4"/>
        <v>0.71499466786930954</v>
      </c>
      <c r="J12">
        <f t="shared" si="5"/>
        <v>19.214804731074441</v>
      </c>
    </row>
    <row r="13" spans="1:10" x14ac:dyDescent="0.35">
      <c r="A13" s="3">
        <f t="shared" si="1"/>
        <v>10</v>
      </c>
      <c r="B13" s="3" t="s">
        <v>19</v>
      </c>
      <c r="C13" s="3">
        <v>27</v>
      </c>
      <c r="E13" s="3" t="str">
        <f t="shared" si="0"/>
        <v>12 Q2</v>
      </c>
      <c r="F13" s="3">
        <f t="shared" si="0"/>
        <v>27</v>
      </c>
      <c r="G13">
        <f t="shared" si="2"/>
        <v>24.837397781317037</v>
      </c>
      <c r="H13">
        <f t="shared" si="3"/>
        <v>0.9686688550794087</v>
      </c>
      <c r="I13">
        <f t="shared" si="4"/>
        <v>1.0314447502664827</v>
      </c>
      <c r="J13">
        <f t="shared" si="5"/>
        <v>21.473614207279361</v>
      </c>
    </row>
    <row r="14" spans="1:10" x14ac:dyDescent="0.35">
      <c r="A14" s="3">
        <f t="shared" si="1"/>
        <v>11</v>
      </c>
      <c r="B14" s="3" t="s">
        <v>20</v>
      </c>
      <c r="C14" s="3">
        <v>18</v>
      </c>
      <c r="E14" s="3" t="str">
        <f t="shared" si="0"/>
        <v>12 Q3</v>
      </c>
      <c r="F14" s="3">
        <f t="shared" si="0"/>
        <v>18</v>
      </c>
      <c r="G14">
        <f t="shared" si="2"/>
        <v>29.117383916482012</v>
      </c>
      <c r="H14">
        <f t="shared" si="3"/>
        <v>2.6243274951221922</v>
      </c>
      <c r="I14">
        <f t="shared" si="4"/>
        <v>0.5866256314963354</v>
      </c>
      <c r="J14">
        <f t="shared" si="5"/>
        <v>14.324014910109998</v>
      </c>
    </row>
    <row r="15" spans="1:10" x14ac:dyDescent="0.35">
      <c r="A15" s="3">
        <f t="shared" si="1"/>
        <v>12</v>
      </c>
      <c r="B15" s="3" t="s">
        <v>21</v>
      </c>
      <c r="C15" s="3">
        <v>40</v>
      </c>
      <c r="E15" s="3" t="str">
        <f t="shared" si="0"/>
        <v>12 Q4</v>
      </c>
      <c r="F15" s="3">
        <f t="shared" si="0"/>
        <v>40</v>
      </c>
      <c r="G15">
        <f t="shared" si="2"/>
        <v>28.387584852322881</v>
      </c>
      <c r="H15">
        <f t="shared" si="3"/>
        <v>0.9472642154815305</v>
      </c>
      <c r="I15">
        <f t="shared" si="4"/>
        <v>1.5034641066507302</v>
      </c>
      <c r="J15">
        <f t="shared" si="5"/>
        <v>50.718859599877675</v>
      </c>
    </row>
    <row r="16" spans="1:10" x14ac:dyDescent="0.35">
      <c r="A16" s="3">
        <f t="shared" si="1"/>
        <v>13</v>
      </c>
      <c r="B16" s="3" t="s">
        <v>22</v>
      </c>
      <c r="C16" s="3">
        <v>28</v>
      </c>
      <c r="E16" s="3" t="str">
        <f t="shared" si="0"/>
        <v>13 Q1</v>
      </c>
      <c r="F16" s="3">
        <f t="shared" si="0"/>
        <v>28</v>
      </c>
      <c r="G16">
        <f t="shared" si="2"/>
        <v>34.247990136887921</v>
      </c>
      <c r="H16">
        <f t="shared" si="3"/>
        <v>3.4038347500232851</v>
      </c>
      <c r="I16">
        <f t="shared" si="4"/>
        <v>0.7662804462878916</v>
      </c>
      <c r="J16">
        <f t="shared" si="5"/>
        <v>20.974260666231142</v>
      </c>
    </row>
    <row r="17" spans="1:11" x14ac:dyDescent="0.35">
      <c r="A17" s="3">
        <f t="shared" si="1"/>
        <v>14</v>
      </c>
      <c r="B17" s="3" t="s">
        <v>23</v>
      </c>
      <c r="C17" s="3">
        <v>40</v>
      </c>
      <c r="E17" s="3" t="str">
        <f t="shared" si="0"/>
        <v>13 Q2</v>
      </c>
      <c r="F17" s="3">
        <f t="shared" si="0"/>
        <v>40</v>
      </c>
      <c r="G17">
        <f t="shared" si="2"/>
        <v>38.216190007845576</v>
      </c>
      <c r="H17">
        <f t="shared" si="3"/>
        <v>3.6860173104904699</v>
      </c>
      <c r="I17">
        <f t="shared" si="4"/>
        <v>1.0390607821249929</v>
      </c>
      <c r="J17">
        <f t="shared" si="5"/>
        <v>38.83577711755747</v>
      </c>
    </row>
    <row r="18" spans="1:11" x14ac:dyDescent="0.35">
      <c r="A18" s="3">
        <f t="shared" si="1"/>
        <v>15</v>
      </c>
      <c r="B18" s="3" t="s">
        <v>24</v>
      </c>
      <c r="C18" s="3">
        <v>25</v>
      </c>
      <c r="E18" s="3" t="str">
        <f t="shared" si="0"/>
        <v>13 Q3</v>
      </c>
      <c r="F18" s="3">
        <f t="shared" si="0"/>
        <v>25</v>
      </c>
      <c r="G18">
        <f t="shared" si="2"/>
        <v>42.259412278611777</v>
      </c>
      <c r="H18">
        <f t="shared" si="3"/>
        <v>3.8646197906283355</v>
      </c>
      <c r="I18">
        <f t="shared" si="4"/>
        <v>0.58910490858629894</v>
      </c>
      <c r="J18">
        <f t="shared" si="5"/>
        <v>24.58090882920925</v>
      </c>
    </row>
    <row r="19" spans="1:11" x14ac:dyDescent="0.35">
      <c r="A19" s="5">
        <f t="shared" si="1"/>
        <v>16</v>
      </c>
      <c r="B19" s="5" t="s">
        <v>25</v>
      </c>
      <c r="C19" s="5">
        <v>65</v>
      </c>
      <c r="E19" s="5" t="str">
        <f t="shared" si="0"/>
        <v>13 Q4</v>
      </c>
      <c r="F19" s="5">
        <f t="shared" si="0"/>
        <v>65</v>
      </c>
      <c r="G19" s="7">
        <f t="shared" si="2"/>
        <v>44.678760894861725</v>
      </c>
      <c r="H19" s="7">
        <f t="shared" si="3"/>
        <v>3.1419842034391419</v>
      </c>
      <c r="I19" s="7">
        <f t="shared" si="4"/>
        <v>1.4791470341588568</v>
      </c>
      <c r="J19" s="7">
        <f t="shared" si="5"/>
        <v>69.345826670109716</v>
      </c>
    </row>
    <row r="20" spans="1:11" x14ac:dyDescent="0.35">
      <c r="E20" s="3" t="s">
        <v>44</v>
      </c>
      <c r="F20" s="3"/>
      <c r="I20">
        <f t="shared" ref="I20:I25" si="6">I16</f>
        <v>0.7662804462878916</v>
      </c>
      <c r="J20">
        <f t="shared" ref="J20:J25" si="7">($G$19+$H$19*(ROW(G20)-ROW($G$19)))*I20</f>
        <v>36.644101895745493</v>
      </c>
    </row>
    <row r="21" spans="1:11" x14ac:dyDescent="0.35">
      <c r="E21" s="3" t="s">
        <v>44</v>
      </c>
      <c r="F21" s="3"/>
      <c r="I21">
        <f t="shared" si="6"/>
        <v>1.0390607821249929</v>
      </c>
      <c r="J21">
        <f t="shared" si="7"/>
        <v>52.953373367490265</v>
      </c>
    </row>
    <row r="22" spans="1:11" x14ac:dyDescent="0.35">
      <c r="E22" s="3" t="s">
        <v>44</v>
      </c>
      <c r="F22" s="3"/>
      <c r="I22">
        <f t="shared" si="6"/>
        <v>0.58910490858629894</v>
      </c>
      <c r="J22">
        <f t="shared" si="7"/>
        <v>31.873352303556455</v>
      </c>
    </row>
    <row r="23" spans="1:11" x14ac:dyDescent="0.35">
      <c r="E23" s="3" t="s">
        <v>44</v>
      </c>
      <c r="F23" s="3"/>
      <c r="I23">
        <f t="shared" si="6"/>
        <v>1.4791470341588568</v>
      </c>
      <c r="J23">
        <f t="shared" si="7"/>
        <v>84.676283131091367</v>
      </c>
    </row>
    <row r="24" spans="1:11" x14ac:dyDescent="0.35">
      <c r="E24" s="3" t="s">
        <v>44</v>
      </c>
      <c r="I24">
        <f t="shared" si="6"/>
        <v>0.7662804462878916</v>
      </c>
      <c r="J24">
        <f t="shared" si="7"/>
        <v>46.274666126308901</v>
      </c>
    </row>
    <row r="25" spans="1:11" x14ac:dyDescent="0.35">
      <c r="E25" s="3" t="s">
        <v>44</v>
      </c>
      <c r="I25">
        <f t="shared" si="6"/>
        <v>1.0390607821249929</v>
      </c>
      <c r="J25">
        <f t="shared" si="7"/>
        <v>66.01222362288965</v>
      </c>
    </row>
    <row r="27" spans="1:11" x14ac:dyDescent="0.35">
      <c r="F27" s="13" t="s">
        <v>26</v>
      </c>
      <c r="G27" s="13" t="s">
        <v>27</v>
      </c>
      <c r="H27" s="13" t="s">
        <v>28</v>
      </c>
      <c r="I27" s="13" t="s">
        <v>29</v>
      </c>
      <c r="J27" s="13" t="s">
        <v>30</v>
      </c>
      <c r="K27" s="13" t="s">
        <v>45</v>
      </c>
    </row>
    <row r="28" spans="1:11" x14ac:dyDescent="0.35">
      <c r="F28" s="14">
        <v>0.5</v>
      </c>
      <c r="G28" s="15">
        <v>0.5</v>
      </c>
      <c r="H28" s="16">
        <v>0.5</v>
      </c>
      <c r="I28" s="14">
        <f>SUMPRODUCT(ABS(F8:F19-J8:J19))/COUNT(J8:J19)</f>
        <v>4.8523571701126071</v>
      </c>
      <c r="J28" s="16">
        <f>SUMXMY2(F8:F19,J8:J19)/COUNT(J8:J19)</f>
        <v>41.696809680526727</v>
      </c>
      <c r="K28" s="16">
        <f>SUMPRODUCT(ABS(1-J8:J19/F8:F19))/COUNT(J8:J19)</f>
        <v>0.17685534775567938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76EA-B511-408A-A8CC-008C6F762DB8}">
  <sheetPr codeName="Sheet89"/>
  <dimension ref="A1:K23"/>
  <sheetViews>
    <sheetView workbookViewId="0"/>
  </sheetViews>
  <sheetFormatPr defaultRowHeight="14.5" x14ac:dyDescent="0.35"/>
  <cols>
    <col min="1" max="1" width="5.1796875" customWidth="1"/>
    <col min="2" max="2" width="7.54296875" customWidth="1"/>
    <col min="3" max="3" width="6.90625" customWidth="1"/>
    <col min="5" max="5" width="6.36328125" customWidth="1"/>
  </cols>
  <sheetData>
    <row r="1" spans="1:10" x14ac:dyDescent="0.35">
      <c r="A1" s="1" t="s">
        <v>41</v>
      </c>
      <c r="E1" t="s">
        <v>42</v>
      </c>
    </row>
    <row r="2" spans="1:10" ht="15" thickBot="1" x14ac:dyDescent="0.4"/>
    <row r="3" spans="1:10" ht="15" thickTop="1" x14ac:dyDescent="0.35">
      <c r="A3" s="2" t="s">
        <v>2</v>
      </c>
      <c r="B3" s="2" t="s">
        <v>1</v>
      </c>
      <c r="C3" s="2" t="s">
        <v>3</v>
      </c>
      <c r="E3" s="12" t="str">
        <f>B3</f>
        <v>qtr</v>
      </c>
      <c r="F3" s="12" t="str">
        <f>C3</f>
        <v>y</v>
      </c>
      <c r="G3" s="12" t="s">
        <v>4</v>
      </c>
      <c r="H3" s="12" t="s">
        <v>5</v>
      </c>
      <c r="I3" s="12" t="s">
        <v>6</v>
      </c>
      <c r="J3" s="12" t="s">
        <v>43</v>
      </c>
    </row>
    <row r="4" spans="1:10" x14ac:dyDescent="0.35">
      <c r="A4" s="3">
        <v>1</v>
      </c>
      <c r="B4" s="3" t="s">
        <v>10</v>
      </c>
      <c r="C4" s="3">
        <v>10</v>
      </c>
      <c r="E4" t="str">
        <f>B4</f>
        <v>10 Q1</v>
      </c>
      <c r="F4">
        <f>C4</f>
        <v>10</v>
      </c>
      <c r="I4">
        <f>F4/AVERAGE($F$4:$F$7)</f>
        <v>0.70175438596491224</v>
      </c>
    </row>
    <row r="5" spans="1:10" x14ac:dyDescent="0.35">
      <c r="A5" s="3">
        <f>A4+1</f>
        <v>2</v>
      </c>
      <c r="B5" s="3" t="s">
        <v>11</v>
      </c>
      <c r="C5" s="3">
        <v>14</v>
      </c>
      <c r="E5" t="str">
        <f t="shared" ref="E5:F19" si="0">B5</f>
        <v>10 Q2</v>
      </c>
      <c r="F5">
        <f t="shared" si="0"/>
        <v>14</v>
      </c>
      <c r="I5">
        <f t="shared" ref="I5:I7" si="1">F5/AVERAGE($F$4:$F$7)</f>
        <v>0.98245614035087714</v>
      </c>
    </row>
    <row r="6" spans="1:10" x14ac:dyDescent="0.35">
      <c r="A6" s="3">
        <f t="shared" ref="A6:A19" si="2">A5+1</f>
        <v>3</v>
      </c>
      <c r="B6" s="3" t="s">
        <v>12</v>
      </c>
      <c r="C6" s="3">
        <v>8</v>
      </c>
      <c r="E6" t="str">
        <f t="shared" si="0"/>
        <v>10 Q3</v>
      </c>
      <c r="F6">
        <f t="shared" si="0"/>
        <v>8</v>
      </c>
      <c r="I6">
        <f t="shared" si="1"/>
        <v>0.56140350877192979</v>
      </c>
    </row>
    <row r="7" spans="1:10" x14ac:dyDescent="0.35">
      <c r="A7" s="3">
        <f t="shared" si="2"/>
        <v>4</v>
      </c>
      <c r="B7" s="3" t="s">
        <v>13</v>
      </c>
      <c r="C7" s="3">
        <v>25</v>
      </c>
      <c r="E7" t="str">
        <f t="shared" si="0"/>
        <v>10 Q4</v>
      </c>
      <c r="F7">
        <f t="shared" si="0"/>
        <v>25</v>
      </c>
      <c r="G7">
        <f>F7/I7</f>
        <v>14.25</v>
      </c>
      <c r="H7">
        <f>(AVERAGE(F8:F11)-AVERAGE(F4:F7))/4</f>
        <v>1.875</v>
      </c>
      <c r="I7">
        <f t="shared" si="1"/>
        <v>1.7543859649122806</v>
      </c>
    </row>
    <row r="8" spans="1:10" x14ac:dyDescent="0.35">
      <c r="A8" s="3">
        <f t="shared" si="2"/>
        <v>5</v>
      </c>
      <c r="B8" s="3" t="s">
        <v>14</v>
      </c>
      <c r="C8" s="3">
        <v>16</v>
      </c>
      <c r="E8" t="str">
        <f t="shared" si="0"/>
        <v>11 Q1</v>
      </c>
      <c r="F8">
        <f t="shared" si="0"/>
        <v>16</v>
      </c>
      <c r="G8">
        <f>$F$23*F8/I4+(1-$F$23)*(G7+H7)</f>
        <v>16.276960133618669</v>
      </c>
      <c r="H8">
        <f>$G$23*(G8-G7)+(1-$G$23)*H7</f>
        <v>1.9871646624567803</v>
      </c>
      <c r="I8">
        <f>$H$23*(F8/G8)+(1-$H$23)*I4</f>
        <v>0.74521376020797236</v>
      </c>
      <c r="J8">
        <f>(G7+H7)*I4</f>
        <v>11.315789473684211</v>
      </c>
    </row>
    <row r="9" spans="1:10" x14ac:dyDescent="0.35">
      <c r="A9" s="3">
        <f t="shared" si="2"/>
        <v>6</v>
      </c>
      <c r="B9" s="3" t="s">
        <v>15</v>
      </c>
      <c r="C9" s="3">
        <v>22</v>
      </c>
      <c r="E9" t="str">
        <f t="shared" si="0"/>
        <v>11 Q2</v>
      </c>
      <c r="F9">
        <f t="shared" si="0"/>
        <v>22</v>
      </c>
      <c r="G9">
        <f t="shared" ref="G9:G19" si="3">$F$23*F9/I5+(1-$F$23)*(G8+H8)</f>
        <v>18.358117712793455</v>
      </c>
      <c r="H9">
        <f t="shared" ref="H9:H19" si="4">$G$23*(G9-G8)+(1-$G$23)*H8</f>
        <v>2.0565426205168809</v>
      </c>
      <c r="I9">
        <f t="shared" ref="I9:I19" si="5">$H$23*(F9/G9)+(1-$H$23)*I5</f>
        <v>1.0158235208481294</v>
      </c>
      <c r="J9">
        <f t="shared" ref="J9:J19" si="6">(G8+H8)*I5</f>
        <v>17.943701554039038</v>
      </c>
    </row>
    <row r="10" spans="1:10" x14ac:dyDescent="0.35">
      <c r="A10" s="3">
        <f t="shared" si="2"/>
        <v>7</v>
      </c>
      <c r="B10" s="3" t="s">
        <v>16</v>
      </c>
      <c r="C10" s="3">
        <v>14</v>
      </c>
      <c r="E10" t="str">
        <f t="shared" si="0"/>
        <v>11 Q3</v>
      </c>
      <c r="F10">
        <f t="shared" si="0"/>
        <v>14</v>
      </c>
      <c r="G10">
        <f t="shared" si="3"/>
        <v>20.517625325083518</v>
      </c>
      <c r="H10">
        <f t="shared" si="4"/>
        <v>2.1325430376794872</v>
      </c>
      <c r="I10">
        <f t="shared" si="5"/>
        <v>0.58009222987909947</v>
      </c>
      <c r="J10">
        <f t="shared" si="6"/>
        <v>11.460861941507558</v>
      </c>
    </row>
    <row r="11" spans="1:10" x14ac:dyDescent="0.35">
      <c r="A11" s="3">
        <f t="shared" si="2"/>
        <v>8</v>
      </c>
      <c r="B11" s="3" t="s">
        <v>17</v>
      </c>
      <c r="C11" s="3">
        <v>35</v>
      </c>
      <c r="E11" t="str">
        <f t="shared" si="0"/>
        <v>11 Q4</v>
      </c>
      <c r="F11">
        <f t="shared" si="0"/>
        <v>35</v>
      </c>
      <c r="G11">
        <f t="shared" si="3"/>
        <v>22.588697509549768</v>
      </c>
      <c r="H11">
        <f t="shared" si="4"/>
        <v>2.0871702327377966</v>
      </c>
      <c r="I11">
        <f t="shared" si="5"/>
        <v>1.7227161764948653</v>
      </c>
      <c r="J11">
        <f t="shared" si="6"/>
        <v>39.737137478531587</v>
      </c>
    </row>
    <row r="12" spans="1:10" x14ac:dyDescent="0.35">
      <c r="A12" s="3">
        <f t="shared" si="2"/>
        <v>9</v>
      </c>
      <c r="B12" s="3" t="s">
        <v>18</v>
      </c>
      <c r="C12" s="3">
        <v>15</v>
      </c>
      <c r="E12" t="str">
        <f t="shared" si="0"/>
        <v>12 Q1</v>
      </c>
      <c r="F12">
        <f t="shared" si="0"/>
        <v>15</v>
      </c>
      <c r="G12">
        <f t="shared" si="3"/>
        <v>24.57234328058059</v>
      </c>
      <c r="H12">
        <f t="shared" si="4"/>
        <v>2.0107568601849568</v>
      </c>
      <c r="I12">
        <f t="shared" si="5"/>
        <v>0.72438711883455309</v>
      </c>
      <c r="J12">
        <f t="shared" si="6"/>
        <v>18.388796186624727</v>
      </c>
    </row>
    <row r="13" spans="1:10" x14ac:dyDescent="0.35">
      <c r="A13" s="3">
        <f t="shared" si="2"/>
        <v>10</v>
      </c>
      <c r="B13" s="3" t="s">
        <v>19</v>
      </c>
      <c r="C13" s="3">
        <v>27</v>
      </c>
      <c r="E13" t="str">
        <f t="shared" si="0"/>
        <v>12 Q2</v>
      </c>
      <c r="F13">
        <f t="shared" si="0"/>
        <v>27</v>
      </c>
      <c r="G13">
        <f t="shared" si="3"/>
        <v>26.583016360143073</v>
      </c>
      <c r="H13">
        <f t="shared" si="4"/>
        <v>2.0106950201153517</v>
      </c>
      <c r="I13">
        <f t="shared" si="5"/>
        <v>1.0158022835357661</v>
      </c>
      <c r="J13">
        <f t="shared" si="6"/>
        <v>27.003738380050862</v>
      </c>
    </row>
    <row r="14" spans="1:10" x14ac:dyDescent="0.35">
      <c r="A14" s="3">
        <f t="shared" si="2"/>
        <v>11</v>
      </c>
      <c r="B14" s="3" t="s">
        <v>20</v>
      </c>
      <c r="C14" s="3">
        <v>18</v>
      </c>
      <c r="E14" t="str">
        <f t="shared" si="0"/>
        <v>12 Q3</v>
      </c>
      <c r="F14">
        <f t="shared" si="0"/>
        <v>18</v>
      </c>
      <c r="G14">
        <f t="shared" si="3"/>
        <v>28.649164584608052</v>
      </c>
      <c r="H14">
        <f t="shared" si="4"/>
        <v>2.0516260840721063</v>
      </c>
      <c r="I14">
        <f t="shared" si="5"/>
        <v>0.58754047050801428</v>
      </c>
      <c r="J14">
        <f t="shared" si="6"/>
        <v>16.586989795093494</v>
      </c>
    </row>
    <row r="15" spans="1:10" x14ac:dyDescent="0.35">
      <c r="A15" s="3">
        <f t="shared" si="2"/>
        <v>12</v>
      </c>
      <c r="B15" s="3" t="s">
        <v>21</v>
      </c>
      <c r="C15" s="3">
        <v>40</v>
      </c>
      <c r="E15" t="str">
        <f t="shared" si="0"/>
        <v>12 Q4</v>
      </c>
      <c r="F15">
        <f t="shared" si="0"/>
        <v>40</v>
      </c>
      <c r="G15">
        <f t="shared" si="3"/>
        <v>30.530466835864427</v>
      </c>
      <c r="H15">
        <f t="shared" si="4"/>
        <v>1.9259068262563548</v>
      </c>
      <c r="I15">
        <f t="shared" si="5"/>
        <v>1.6589636097803797</v>
      </c>
      <c r="J15">
        <f t="shared" si="6"/>
        <v>52.888748716117917</v>
      </c>
    </row>
    <row r="16" spans="1:10" x14ac:dyDescent="0.35">
      <c r="A16" s="3">
        <f t="shared" si="2"/>
        <v>13</v>
      </c>
      <c r="B16" s="3" t="s">
        <v>22</v>
      </c>
      <c r="C16" s="3">
        <v>28</v>
      </c>
      <c r="E16" t="str">
        <f t="shared" si="0"/>
        <v>13 Q1</v>
      </c>
      <c r="F16">
        <f t="shared" si="0"/>
        <v>28</v>
      </c>
      <c r="G16">
        <f t="shared" si="3"/>
        <v>32.597451668636772</v>
      </c>
      <c r="H16">
        <f t="shared" si="4"/>
        <v>2.0300391838959602</v>
      </c>
      <c r="I16">
        <f t="shared" si="5"/>
        <v>0.74518352780213815</v>
      </c>
      <c r="J16">
        <f t="shared" si="6"/>
        <v>23.510979004921346</v>
      </c>
    </row>
    <row r="17" spans="1:11" x14ac:dyDescent="0.35">
      <c r="A17" s="3">
        <f t="shared" si="2"/>
        <v>14</v>
      </c>
      <c r="B17" s="3" t="s">
        <v>23</v>
      </c>
      <c r="C17" s="3">
        <v>40</v>
      </c>
      <c r="E17" t="str">
        <f t="shared" si="0"/>
        <v>13 Q2</v>
      </c>
      <c r="F17">
        <f t="shared" si="0"/>
        <v>40</v>
      </c>
      <c r="G17">
        <f t="shared" si="3"/>
        <v>34.735632989248479</v>
      </c>
      <c r="H17">
        <f t="shared" si="4"/>
        <v>2.1098609501265377</v>
      </c>
      <c r="I17">
        <f t="shared" si="5"/>
        <v>1.0367806119400194</v>
      </c>
      <c r="J17">
        <f t="shared" si="6"/>
        <v>35.174684281116598</v>
      </c>
    </row>
    <row r="18" spans="1:11" x14ac:dyDescent="0.35">
      <c r="A18" s="3">
        <f t="shared" si="2"/>
        <v>15</v>
      </c>
      <c r="B18" s="3" t="s">
        <v>24</v>
      </c>
      <c r="C18" s="3">
        <v>25</v>
      </c>
      <c r="E18" t="str">
        <f t="shared" si="0"/>
        <v>13 Q3</v>
      </c>
      <c r="F18">
        <f t="shared" si="0"/>
        <v>25</v>
      </c>
      <c r="G18">
        <f t="shared" si="3"/>
        <v>36.975366159535476</v>
      </c>
      <c r="H18">
        <f t="shared" si="4"/>
        <v>2.2057221039036548</v>
      </c>
      <c r="I18">
        <f t="shared" si="5"/>
        <v>0.60122984279001623</v>
      </c>
      <c r="J18">
        <f t="shared" si="6"/>
        <v>21.648218845240585</v>
      </c>
    </row>
    <row r="19" spans="1:11" x14ac:dyDescent="0.35">
      <c r="A19" s="5">
        <f t="shared" si="2"/>
        <v>16</v>
      </c>
      <c r="B19" s="5" t="s">
        <v>25</v>
      </c>
      <c r="C19" s="5">
        <v>65</v>
      </c>
      <c r="E19" s="7" t="str">
        <f t="shared" si="0"/>
        <v>13 Q4</v>
      </c>
      <c r="F19" s="7">
        <f t="shared" si="0"/>
        <v>65</v>
      </c>
      <c r="G19" s="7">
        <f t="shared" si="3"/>
        <v>39.181088268645013</v>
      </c>
      <c r="H19" s="7">
        <f t="shared" si="4"/>
        <v>2.2057221077462152</v>
      </c>
      <c r="I19" s="7">
        <f t="shared" si="5"/>
        <v>1.6589636112425465</v>
      </c>
      <c r="J19" s="7">
        <f t="shared" si="6"/>
        <v>64.999999620638647</v>
      </c>
    </row>
    <row r="20" spans="1:11" x14ac:dyDescent="0.35">
      <c r="E20" s="4" t="s">
        <v>44</v>
      </c>
      <c r="I20">
        <f>I16</f>
        <v>0.74518352780213815</v>
      </c>
      <c r="J20">
        <f>($G$19+$H$19*(ROW(G20)-ROW($G$19)))*I20</f>
        <v>30.840769360757349</v>
      </c>
    </row>
    <row r="22" spans="1:11" x14ac:dyDescent="0.35">
      <c r="F22" s="13" t="s">
        <v>26</v>
      </c>
      <c r="G22" s="13" t="s">
        <v>27</v>
      </c>
      <c r="H22" s="13" t="s">
        <v>28</v>
      </c>
      <c r="I22" s="13" t="s">
        <v>29</v>
      </c>
      <c r="J22" s="13" t="s">
        <v>30</v>
      </c>
      <c r="K22" s="13" t="s">
        <v>45</v>
      </c>
    </row>
    <row r="23" spans="1:11" x14ac:dyDescent="0.35">
      <c r="F23" s="14">
        <v>2.2765563088939234E-2</v>
      </c>
      <c r="G23" s="15">
        <v>0.7381190038845844</v>
      </c>
      <c r="H23" s="16">
        <v>0.15453312964185315</v>
      </c>
      <c r="I23" s="17">
        <f>SUMPRODUCT(ABS(F8:F19-J8:J19))/COUNT(J8:J19)</f>
        <v>3.8647663537569681</v>
      </c>
      <c r="J23" s="15">
        <f>SUMXMY2(F8:F19,J8:J19)/COUNT(J8:J19)</f>
        <v>25.129407664589664</v>
      </c>
      <c r="K23" s="16">
        <f>SUMPRODUCT(ABS(1-J8:J19/F8:F19))/COUNT(J8:J19)</f>
        <v>0.15297149681623701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08BC-53D7-4E1C-831E-895AF32682F8}">
  <sheetPr codeName="Sheet65"/>
  <dimension ref="A1:K23"/>
  <sheetViews>
    <sheetView topLeftCell="E9" zoomScale="98" zoomScaleNormal="98" workbookViewId="0">
      <selection activeCell="E1" sqref="E1"/>
    </sheetView>
  </sheetViews>
  <sheetFormatPr defaultRowHeight="14.5" x14ac:dyDescent="0.35"/>
  <cols>
    <col min="2" max="2" width="7.54296875" customWidth="1"/>
    <col min="5" max="5" width="6.453125" customWidth="1"/>
  </cols>
  <sheetData>
    <row r="1" spans="1:10" x14ac:dyDescent="0.35">
      <c r="A1" s="1" t="s">
        <v>41</v>
      </c>
      <c r="E1" s="1" t="s">
        <v>42</v>
      </c>
    </row>
    <row r="2" spans="1:10" ht="15" thickBot="1" x14ac:dyDescent="0.4"/>
    <row r="3" spans="1:10" ht="15" thickTop="1" x14ac:dyDescent="0.35">
      <c r="A3" s="2" t="s">
        <v>2</v>
      </c>
      <c r="B3" s="2" t="s">
        <v>1</v>
      </c>
      <c r="C3" s="2" t="s">
        <v>3</v>
      </c>
      <c r="E3" s="12" t="str">
        <f>B3</f>
        <v>qtr</v>
      </c>
      <c r="F3" s="12" t="str">
        <f>C3</f>
        <v>y</v>
      </c>
      <c r="G3" s="12" t="s">
        <v>4</v>
      </c>
      <c r="H3" s="12" t="s">
        <v>5</v>
      </c>
      <c r="I3" s="12" t="s">
        <v>6</v>
      </c>
      <c r="J3" s="12" t="s">
        <v>43</v>
      </c>
    </row>
    <row r="4" spans="1:10" x14ac:dyDescent="0.35">
      <c r="A4" s="3">
        <v>1</v>
      </c>
      <c r="B4" s="3" t="s">
        <v>10</v>
      </c>
      <c r="C4" s="3">
        <v>10</v>
      </c>
      <c r="E4" t="str">
        <f>B4</f>
        <v>10 Q1</v>
      </c>
      <c r="F4">
        <f>C4</f>
        <v>10</v>
      </c>
      <c r="I4">
        <f>F4/AVERAGE($F$4:$F$7)</f>
        <v>0.70175438596491224</v>
      </c>
    </row>
    <row r="5" spans="1:10" x14ac:dyDescent="0.35">
      <c r="A5" s="3">
        <f>A4+1</f>
        <v>2</v>
      </c>
      <c r="B5" s="3" t="s">
        <v>11</v>
      </c>
      <c r="C5" s="3">
        <v>14</v>
      </c>
      <c r="E5" t="str">
        <f t="shared" ref="E5:F19" si="0">B5</f>
        <v>10 Q2</v>
      </c>
      <c r="F5">
        <f t="shared" si="0"/>
        <v>14</v>
      </c>
      <c r="I5">
        <f t="shared" ref="I5:I7" si="1">F5/AVERAGE($F$4:$F$7)</f>
        <v>0.98245614035087714</v>
      </c>
    </row>
    <row r="6" spans="1:10" x14ac:dyDescent="0.35">
      <c r="A6" s="3">
        <f t="shared" ref="A6:A19" si="2">A5+1</f>
        <v>3</v>
      </c>
      <c r="B6" s="3" t="s">
        <v>12</v>
      </c>
      <c r="C6" s="3">
        <v>8</v>
      </c>
      <c r="E6" t="str">
        <f t="shared" si="0"/>
        <v>10 Q3</v>
      </c>
      <c r="F6">
        <f t="shared" si="0"/>
        <v>8</v>
      </c>
      <c r="I6">
        <f t="shared" si="1"/>
        <v>0.56140350877192979</v>
      </c>
    </row>
    <row r="7" spans="1:10" x14ac:dyDescent="0.35">
      <c r="A7" s="3">
        <f t="shared" si="2"/>
        <v>4</v>
      </c>
      <c r="B7" s="3" t="s">
        <v>13</v>
      </c>
      <c r="C7" s="3">
        <v>25</v>
      </c>
      <c r="E7" t="str">
        <f t="shared" si="0"/>
        <v>10 Q4</v>
      </c>
      <c r="F7">
        <f t="shared" si="0"/>
        <v>25</v>
      </c>
      <c r="G7">
        <f>F7/I7</f>
        <v>14.25</v>
      </c>
      <c r="H7">
        <f>(AVERAGE(F8:F11)-AVERAGE(F4:F7))/4</f>
        <v>1.875</v>
      </c>
      <c r="I7">
        <f t="shared" si="1"/>
        <v>1.7543859649122806</v>
      </c>
    </row>
    <row r="8" spans="1:10" x14ac:dyDescent="0.35">
      <c r="A8" s="3">
        <f t="shared" si="2"/>
        <v>5</v>
      </c>
      <c r="B8" s="3" t="s">
        <v>14</v>
      </c>
      <c r="C8" s="3">
        <v>16</v>
      </c>
      <c r="E8" t="str">
        <f t="shared" si="0"/>
        <v>11 Q1</v>
      </c>
      <c r="F8">
        <f t="shared" si="0"/>
        <v>16</v>
      </c>
      <c r="G8">
        <f>$F$23*F8/I4+(1-$F$23)*(G7+H7)</f>
        <v>16.409663890959376</v>
      </c>
      <c r="H8">
        <f>$G$23*(G8-G7)+(1-$G$23)*H7</f>
        <v>1.9759729329919167</v>
      </c>
      <c r="I8">
        <f>$H$23*(F8/G8)+(1-$H$23)*I4</f>
        <v>0.745763100902612</v>
      </c>
      <c r="J8">
        <f>(G7+H7)*I4</f>
        <v>11.315789473684211</v>
      </c>
    </row>
    <row r="9" spans="1:10" x14ac:dyDescent="0.35">
      <c r="A9" s="3">
        <f t="shared" si="2"/>
        <v>6</v>
      </c>
      <c r="B9" s="3" t="s">
        <v>15</v>
      </c>
      <c r="C9" s="3">
        <v>22</v>
      </c>
      <c r="E9" t="str">
        <f t="shared" si="0"/>
        <v>11 Q2</v>
      </c>
      <c r="F9">
        <f t="shared" si="0"/>
        <v>22</v>
      </c>
      <c r="G9">
        <f t="shared" ref="G9:G19" si="3">$F$23*F9/I5+(1-$F$23)*(G8+H8)</f>
        <v>18.556529846859338</v>
      </c>
      <c r="H9">
        <f t="shared" ref="H9:H19" si="4">$G$23*(G9-G8)+(1-$G$23)*H8</f>
        <v>2.0365902796203397</v>
      </c>
      <c r="I9">
        <f t="shared" ref="I9:I19" si="5">$H$23*(F9/G9)+(1-$H$23)*I5</f>
        <v>1.0151647131796984</v>
      </c>
      <c r="J9">
        <f t="shared" ref="J9:J19" si="6">(G8+H8)*I5</f>
        <v>18.063081791952143</v>
      </c>
    </row>
    <row r="10" spans="1:10" x14ac:dyDescent="0.35">
      <c r="A10" s="3">
        <f t="shared" si="2"/>
        <v>7</v>
      </c>
      <c r="B10" s="3" t="s">
        <v>16</v>
      </c>
      <c r="C10" s="3">
        <v>14</v>
      </c>
      <c r="E10" t="str">
        <f t="shared" si="0"/>
        <v>11 Q3</v>
      </c>
      <c r="F10">
        <f t="shared" si="0"/>
        <v>14</v>
      </c>
      <c r="G10">
        <f t="shared" si="3"/>
        <v>20.778391748742131</v>
      </c>
      <c r="H10">
        <f t="shared" si="4"/>
        <v>2.1023078493372522</v>
      </c>
      <c r="I10">
        <f t="shared" si="5"/>
        <v>0.57949994067812316</v>
      </c>
      <c r="J10">
        <f t="shared" si="6"/>
        <v>11.561049895567537</v>
      </c>
    </row>
    <row r="11" spans="1:10" x14ac:dyDescent="0.35">
      <c r="A11" s="3">
        <f t="shared" si="2"/>
        <v>8</v>
      </c>
      <c r="B11" s="3" t="s">
        <v>17</v>
      </c>
      <c r="C11" s="3">
        <v>35</v>
      </c>
      <c r="E11" t="str">
        <f t="shared" si="0"/>
        <v>11 Q4</v>
      </c>
      <c r="F11">
        <f t="shared" si="0"/>
        <v>35</v>
      </c>
      <c r="G11">
        <f t="shared" si="3"/>
        <v>22.755716174735205</v>
      </c>
      <c r="H11">
        <f t="shared" si="4"/>
        <v>2.0579750651969801</v>
      </c>
      <c r="I11">
        <f t="shared" si="5"/>
        <v>1.7195515991109875</v>
      </c>
      <c r="J11">
        <f t="shared" si="6"/>
        <v>40.141578242244528</v>
      </c>
    </row>
    <row r="12" spans="1:10" x14ac:dyDescent="0.35">
      <c r="A12" s="3">
        <f t="shared" si="2"/>
        <v>9</v>
      </c>
      <c r="B12" s="3" t="s">
        <v>18</v>
      </c>
      <c r="C12" s="3">
        <v>15</v>
      </c>
      <c r="E12" t="str">
        <f t="shared" si="0"/>
        <v>12 Q1</v>
      </c>
      <c r="F12">
        <f t="shared" si="0"/>
        <v>15</v>
      </c>
      <c r="G12">
        <f t="shared" si="3"/>
        <v>24.613250955937382</v>
      </c>
      <c r="H12">
        <f t="shared" si="4"/>
        <v>1.9868770299088434</v>
      </c>
      <c r="I12">
        <f t="shared" si="5"/>
        <v>0.72380788171760146</v>
      </c>
      <c r="J12">
        <f t="shared" si="6"/>
        <v>18.505135323931807</v>
      </c>
    </row>
    <row r="13" spans="1:10" x14ac:dyDescent="0.35">
      <c r="A13" s="3">
        <f t="shared" si="2"/>
        <v>10</v>
      </c>
      <c r="B13" s="3" t="s">
        <v>19</v>
      </c>
      <c r="C13" s="3">
        <v>27</v>
      </c>
      <c r="E13" t="str">
        <f t="shared" si="0"/>
        <v>12 Q2</v>
      </c>
      <c r="F13">
        <f t="shared" si="0"/>
        <v>27</v>
      </c>
      <c r="G13">
        <f t="shared" si="3"/>
        <v>26.599980478992507</v>
      </c>
      <c r="H13">
        <f t="shared" si="4"/>
        <v>1.9868247078542052</v>
      </c>
      <c r="I13">
        <f t="shared" si="5"/>
        <v>1.0151443620626868</v>
      </c>
      <c r="J13">
        <f t="shared" si="6"/>
        <v>27.00351129729485</v>
      </c>
    </row>
    <row r="14" spans="1:10" x14ac:dyDescent="0.35">
      <c r="A14" s="3">
        <f t="shared" si="2"/>
        <v>11</v>
      </c>
      <c r="B14" s="3" t="s">
        <v>20</v>
      </c>
      <c r="C14" s="3">
        <v>18</v>
      </c>
      <c r="E14" t="str">
        <f t="shared" si="0"/>
        <v>12 Q3</v>
      </c>
      <c r="F14">
        <f t="shared" si="0"/>
        <v>18</v>
      </c>
      <c r="G14">
        <f t="shared" si="3"/>
        <v>28.69233159235106</v>
      </c>
      <c r="H14">
        <f t="shared" si="4"/>
        <v>2.0242559065775763</v>
      </c>
      <c r="I14">
        <f t="shared" si="5"/>
        <v>0.58720488590820108</v>
      </c>
      <c r="J14">
        <f t="shared" si="6"/>
        <v>16.566051909954734</v>
      </c>
    </row>
    <row r="15" spans="1:10" x14ac:dyDescent="0.35">
      <c r="A15" s="3">
        <f t="shared" si="2"/>
        <v>12</v>
      </c>
      <c r="B15" s="3" t="s">
        <v>21</v>
      </c>
      <c r="C15" s="3">
        <v>40</v>
      </c>
      <c r="E15" t="str">
        <f t="shared" si="0"/>
        <v>12 Q4</v>
      </c>
      <c r="F15">
        <f t="shared" si="0"/>
        <v>40</v>
      </c>
      <c r="G15">
        <f t="shared" si="3"/>
        <v>30.398671913707147</v>
      </c>
      <c r="H15">
        <f t="shared" si="4"/>
        <v>1.9114882879819448</v>
      </c>
      <c r="I15">
        <f t="shared" si="5"/>
        <v>1.6545396364516589</v>
      </c>
      <c r="J15">
        <f t="shared" si="6"/>
        <v>52.818757153015305</v>
      </c>
    </row>
    <row r="16" spans="1:10" x14ac:dyDescent="0.35">
      <c r="A16" s="3">
        <f t="shared" si="2"/>
        <v>13</v>
      </c>
      <c r="B16" s="3" t="s">
        <v>22</v>
      </c>
      <c r="C16" s="3">
        <v>28</v>
      </c>
      <c r="E16" t="str">
        <f t="shared" si="0"/>
        <v>13 Q1</v>
      </c>
      <c r="F16">
        <f t="shared" si="0"/>
        <v>28</v>
      </c>
      <c r="G16">
        <f t="shared" si="3"/>
        <v>32.581993452525211</v>
      </c>
      <c r="H16">
        <f t="shared" si="4"/>
        <v>2.0079100734396844</v>
      </c>
      <c r="I16">
        <f t="shared" si="5"/>
        <v>0.74563865356315784</v>
      </c>
      <c r="J16">
        <f t="shared" si="6"/>
        <v>23.386348613540935</v>
      </c>
    </row>
    <row r="17" spans="1:11" x14ac:dyDescent="0.35">
      <c r="A17" s="3">
        <f t="shared" si="2"/>
        <v>14</v>
      </c>
      <c r="B17" s="3" t="s">
        <v>23</v>
      </c>
      <c r="C17" s="3">
        <v>40</v>
      </c>
      <c r="E17" t="str">
        <f t="shared" si="0"/>
        <v>13 Q2</v>
      </c>
      <c r="F17">
        <f t="shared" si="0"/>
        <v>40</v>
      </c>
      <c r="G17">
        <f t="shared" si="3"/>
        <v>34.795175369796674</v>
      </c>
      <c r="H17">
        <f t="shared" si="4"/>
        <v>2.0807219079948132</v>
      </c>
      <c r="I17">
        <f t="shared" si="5"/>
        <v>1.0367944176973949</v>
      </c>
      <c r="J17">
        <f t="shared" si="6"/>
        <v>35.11374554867551</v>
      </c>
    </row>
    <row r="18" spans="1:11" x14ac:dyDescent="0.35">
      <c r="A18" s="3">
        <f t="shared" si="2"/>
        <v>15</v>
      </c>
      <c r="B18" s="3" t="s">
        <v>24</v>
      </c>
      <c r="C18" s="3">
        <v>25</v>
      </c>
      <c r="E18" t="str">
        <f t="shared" si="0"/>
        <v>13 Q3</v>
      </c>
      <c r="F18">
        <f t="shared" si="0"/>
        <v>25</v>
      </c>
      <c r="G18">
        <f t="shared" si="3"/>
        <v>37.118924771796515</v>
      </c>
      <c r="H18">
        <f t="shared" si="4"/>
        <v>2.1669260232574161</v>
      </c>
      <c r="I18">
        <f t="shared" si="5"/>
        <v>0.60110346931994929</v>
      </c>
      <c r="J18">
        <f t="shared" si="6"/>
        <v>21.653707053768095</v>
      </c>
    </row>
    <row r="19" spans="1:11" x14ac:dyDescent="0.35">
      <c r="A19" s="5">
        <f t="shared" si="2"/>
        <v>16</v>
      </c>
      <c r="B19" s="5" t="s">
        <v>25</v>
      </c>
      <c r="C19" s="5">
        <v>65</v>
      </c>
      <c r="E19" s="7" t="str">
        <f t="shared" si="0"/>
        <v>13 Q4</v>
      </c>
      <c r="F19" s="7">
        <f t="shared" si="0"/>
        <v>65</v>
      </c>
      <c r="G19" s="7">
        <f t="shared" si="3"/>
        <v>39.285850864849799</v>
      </c>
      <c r="H19" s="7">
        <f t="shared" si="4"/>
        <v>2.1669260480146608</v>
      </c>
      <c r="I19" s="7">
        <f t="shared" si="5"/>
        <v>1.6545396470781917</v>
      </c>
      <c r="J19" s="7">
        <f t="shared" si="6"/>
        <v>64.999997292142652</v>
      </c>
    </row>
    <row r="20" spans="1:11" x14ac:dyDescent="0.35">
      <c r="E20" t="s">
        <v>44</v>
      </c>
      <c r="I20">
        <f>I16</f>
        <v>0.74563865356315784</v>
      </c>
      <c r="J20">
        <f>($G$19+$H$19*(ROW(G20)-ROW($G$19)))*I20</f>
        <v>30.908792763762207</v>
      </c>
    </row>
    <row r="22" spans="1:11" x14ac:dyDescent="0.35">
      <c r="F22" s="13" t="s">
        <v>26</v>
      </c>
      <c r="G22" s="13" t="s">
        <v>27</v>
      </c>
      <c r="H22" s="13" t="s">
        <v>28</v>
      </c>
      <c r="I22" s="13" t="s">
        <v>29</v>
      </c>
      <c r="J22" s="13" t="s">
        <v>30</v>
      </c>
      <c r="K22" s="13" t="s">
        <v>45</v>
      </c>
    </row>
    <row r="23" spans="1:11" x14ac:dyDescent="0.35">
      <c r="F23" s="14">
        <v>4.264627579915755E-2</v>
      </c>
      <c r="G23" s="15">
        <v>0.35470931227566999</v>
      </c>
      <c r="H23" s="16">
        <v>0.16103843311388638</v>
      </c>
      <c r="I23" s="17">
        <f>SUMPRODUCT(ABS(F8:F19-J8:J19))/COUNT(J8:J19)</f>
        <v>3.9007675364333889</v>
      </c>
      <c r="J23" s="15">
        <f>SUMXMY2(F8:F19,J8:J19)/COUNT(J8:J19)</f>
        <v>25.403926988901777</v>
      </c>
      <c r="K23" s="16">
        <f>SUMPRODUCT(ABS(1-J8:J19/F8:F19))/COUNT(J8:J19)</f>
        <v>0.15396223127339559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0A8E-663E-42CE-BCA5-695CAE96023E}">
  <sheetPr codeName="Sheet93"/>
  <dimension ref="A1:K26"/>
  <sheetViews>
    <sheetView tabSelected="1" topLeftCell="A6" workbookViewId="0">
      <selection activeCell="G26" sqref="G26"/>
    </sheetView>
  </sheetViews>
  <sheetFormatPr defaultRowHeight="14.5" x14ac:dyDescent="0.35"/>
  <cols>
    <col min="2" max="2" width="7.54296875" customWidth="1"/>
    <col min="5" max="5" width="6.453125" customWidth="1"/>
  </cols>
  <sheetData>
    <row r="1" spans="1:10" x14ac:dyDescent="0.35">
      <c r="A1" s="1" t="s">
        <v>41</v>
      </c>
      <c r="E1" t="s">
        <v>46</v>
      </c>
    </row>
    <row r="2" spans="1:10" ht="15" thickBot="1" x14ac:dyDescent="0.4"/>
    <row r="3" spans="1:10" ht="15" thickTop="1" x14ac:dyDescent="0.35">
      <c r="A3" s="2" t="s">
        <v>2</v>
      </c>
      <c r="B3" s="2" t="s">
        <v>1</v>
      </c>
      <c r="C3" s="2" t="s">
        <v>3</v>
      </c>
      <c r="E3" s="12" t="str">
        <f>B3</f>
        <v>qtr</v>
      </c>
      <c r="F3" s="12" t="str">
        <f>C3</f>
        <v>y</v>
      </c>
      <c r="G3" s="12" t="s">
        <v>4</v>
      </c>
      <c r="H3" s="12" t="s">
        <v>5</v>
      </c>
      <c r="I3" s="12" t="s">
        <v>6</v>
      </c>
      <c r="J3" s="12" t="s">
        <v>43</v>
      </c>
    </row>
    <row r="4" spans="1:10" x14ac:dyDescent="0.35">
      <c r="A4" s="3">
        <v>1</v>
      </c>
      <c r="B4" s="3" t="s">
        <v>10</v>
      </c>
      <c r="C4" s="3">
        <v>10</v>
      </c>
      <c r="E4" s="3" t="str">
        <f>B4</f>
        <v>10 Q1</v>
      </c>
      <c r="F4" s="3">
        <f>C4</f>
        <v>10</v>
      </c>
      <c r="I4">
        <f>F4-AVERAGE($F$4:$F$7)</f>
        <v>-4.25</v>
      </c>
    </row>
    <row r="5" spans="1:10" x14ac:dyDescent="0.35">
      <c r="A5" s="3">
        <f>A4+1</f>
        <v>2</v>
      </c>
      <c r="B5" s="3" t="s">
        <v>11</v>
      </c>
      <c r="C5" s="3">
        <v>14</v>
      </c>
      <c r="E5" s="3" t="str">
        <f t="shared" ref="E5:F19" si="0">B5</f>
        <v>10 Q2</v>
      </c>
      <c r="F5" s="3">
        <f t="shared" si="0"/>
        <v>14</v>
      </c>
      <c r="I5">
        <f t="shared" ref="I5:I7" si="1">F5-AVERAGE($F$4:$F$7)</f>
        <v>-0.25</v>
      </c>
    </row>
    <row r="6" spans="1:10" x14ac:dyDescent="0.35">
      <c r="A6" s="3">
        <f t="shared" ref="A6:A19" si="2">A5+1</f>
        <v>3</v>
      </c>
      <c r="B6" s="3" t="s">
        <v>12</v>
      </c>
      <c r="C6" s="3">
        <v>8</v>
      </c>
      <c r="E6" s="3" t="str">
        <f t="shared" si="0"/>
        <v>10 Q3</v>
      </c>
      <c r="F6" s="3">
        <f t="shared" si="0"/>
        <v>8</v>
      </c>
      <c r="I6">
        <f t="shared" si="1"/>
        <v>-6.25</v>
      </c>
    </row>
    <row r="7" spans="1:10" x14ac:dyDescent="0.35">
      <c r="A7" s="3">
        <f t="shared" si="2"/>
        <v>4</v>
      </c>
      <c r="B7" s="3" t="s">
        <v>13</v>
      </c>
      <c r="C7" s="3">
        <v>25</v>
      </c>
      <c r="E7" s="3" t="str">
        <f t="shared" si="0"/>
        <v>10 Q4</v>
      </c>
      <c r="F7" s="3">
        <f t="shared" si="0"/>
        <v>25</v>
      </c>
      <c r="G7">
        <f>F7-I7</f>
        <v>14.25</v>
      </c>
      <c r="H7">
        <f>(AVERAGE(F8:F11)-AVERAGE(F4:F7))/4</f>
        <v>1.875</v>
      </c>
      <c r="I7">
        <f t="shared" si="1"/>
        <v>10.75</v>
      </c>
    </row>
    <row r="8" spans="1:10" x14ac:dyDescent="0.35">
      <c r="A8" s="3">
        <f t="shared" si="2"/>
        <v>5</v>
      </c>
      <c r="B8" s="3" t="s">
        <v>14</v>
      </c>
      <c r="C8" s="3">
        <v>16</v>
      </c>
      <c r="E8" s="3" t="str">
        <f t="shared" si="0"/>
        <v>11 Q1</v>
      </c>
      <c r="F8" s="3">
        <f t="shared" si="0"/>
        <v>16</v>
      </c>
      <c r="G8">
        <f>$F$26*(F8-I4)+(1-$F$26)*(G7+H7)</f>
        <v>16.18907036947255</v>
      </c>
      <c r="H8">
        <f>$G$26*(G8-G7)+(1-$G$26)*H7</f>
        <v>1.9390703694725495</v>
      </c>
      <c r="I8">
        <f>$H$26*(F8-G8)+(1-$H$26)*I4</f>
        <v>-3.3124053774155002</v>
      </c>
      <c r="J8">
        <f>G7+H7+I4</f>
        <v>11.875</v>
      </c>
    </row>
    <row r="9" spans="1:10" x14ac:dyDescent="0.35">
      <c r="A9" s="3">
        <f t="shared" si="2"/>
        <v>6</v>
      </c>
      <c r="B9" s="3" t="s">
        <v>15</v>
      </c>
      <c r="C9" s="3">
        <v>22</v>
      </c>
      <c r="E9" s="3" t="str">
        <f t="shared" si="0"/>
        <v>11 Q2</v>
      </c>
      <c r="F9" s="3">
        <f t="shared" si="0"/>
        <v>22</v>
      </c>
      <c r="G9">
        <f t="shared" ref="G9:G19" si="3">$F$26*(F9-I5)+(1-$F$26)*(G8+H8)</f>
        <v>18.192162325798343</v>
      </c>
      <c r="H9">
        <f t="shared" ref="H9:H19" si="4">$G$26*(G9-G8)+(1-$G$26)*H8</f>
        <v>2.0030919563257932</v>
      </c>
      <c r="I9">
        <f t="shared" ref="I9:I19" si="5">$H$26*(F9-G9)+(1-$H$26)*I5</f>
        <v>0.68688074623398698</v>
      </c>
      <c r="J9">
        <f t="shared" ref="J9:J19" si="6">G8+H8+I5</f>
        <v>17.878140738945099</v>
      </c>
    </row>
    <row r="10" spans="1:10" x14ac:dyDescent="0.35">
      <c r="A10" s="3">
        <f t="shared" si="2"/>
        <v>7</v>
      </c>
      <c r="B10" s="3" t="s">
        <v>16</v>
      </c>
      <c r="C10" s="3">
        <v>14</v>
      </c>
      <c r="E10" s="3" t="str">
        <f t="shared" si="0"/>
        <v>11 Q3</v>
      </c>
      <c r="F10" s="3">
        <f t="shared" si="0"/>
        <v>14</v>
      </c>
      <c r="G10">
        <f t="shared" si="3"/>
        <v>20.196104604153554</v>
      </c>
      <c r="H10">
        <f t="shared" si="4"/>
        <v>2.0039422783552112</v>
      </c>
      <c r="I10">
        <f t="shared" si="5"/>
        <v>-6.2375565355903184</v>
      </c>
      <c r="J10">
        <f t="shared" si="6"/>
        <v>13.945254282124136</v>
      </c>
    </row>
    <row r="11" spans="1:10" x14ac:dyDescent="0.35">
      <c r="A11" s="3">
        <f t="shared" si="2"/>
        <v>8</v>
      </c>
      <c r="B11" s="3" t="s">
        <v>17</v>
      </c>
      <c r="C11" s="3">
        <v>35</v>
      </c>
      <c r="E11" s="3" t="str">
        <f t="shared" si="0"/>
        <v>11 Q4</v>
      </c>
      <c r="F11" s="3">
        <f t="shared" si="0"/>
        <v>35</v>
      </c>
      <c r="G11">
        <f t="shared" si="3"/>
        <v>22.231887186421268</v>
      </c>
      <c r="H11">
        <f t="shared" si="4"/>
        <v>2.0357825822677142</v>
      </c>
      <c r="I11">
        <f t="shared" si="5"/>
        <v>11.215945459275179</v>
      </c>
      <c r="J11">
        <f t="shared" si="6"/>
        <v>32.950046882508765</v>
      </c>
    </row>
    <row r="12" spans="1:10" x14ac:dyDescent="0.35">
      <c r="A12" s="3">
        <f t="shared" si="2"/>
        <v>9</v>
      </c>
      <c r="B12" s="3" t="s">
        <v>18</v>
      </c>
      <c r="C12" s="3">
        <v>15</v>
      </c>
      <c r="E12" s="3" t="str">
        <f t="shared" si="0"/>
        <v>12 Q1</v>
      </c>
      <c r="F12" s="3">
        <f t="shared" si="0"/>
        <v>15</v>
      </c>
      <c r="G12">
        <f t="shared" si="3"/>
        <v>24.17517134690581</v>
      </c>
      <c r="H12">
        <f t="shared" si="4"/>
        <v>1.9432841604845414</v>
      </c>
      <c r="I12">
        <f t="shared" si="5"/>
        <v>-4.6660111639190092</v>
      </c>
      <c r="J12">
        <f t="shared" si="6"/>
        <v>20.955264391273481</v>
      </c>
    </row>
    <row r="13" spans="1:10" x14ac:dyDescent="0.35">
      <c r="A13" s="3">
        <f t="shared" si="2"/>
        <v>10</v>
      </c>
      <c r="B13" s="3" t="s">
        <v>19</v>
      </c>
      <c r="C13" s="3">
        <v>27</v>
      </c>
      <c r="E13" s="3" t="str">
        <f t="shared" si="0"/>
        <v>12 Q2</v>
      </c>
      <c r="F13" s="3">
        <f t="shared" si="0"/>
        <v>27</v>
      </c>
      <c r="G13">
        <f t="shared" si="3"/>
        <v>26.121479065730522</v>
      </c>
      <c r="H13">
        <f t="shared" si="4"/>
        <v>1.9463077188247127</v>
      </c>
      <c r="I13">
        <f t="shared" si="5"/>
        <v>0.73112697212828326</v>
      </c>
      <c r="J13">
        <f t="shared" si="6"/>
        <v>26.80533625362434</v>
      </c>
    </row>
    <row r="14" spans="1:10" x14ac:dyDescent="0.35">
      <c r="A14" s="3">
        <f t="shared" si="2"/>
        <v>11</v>
      </c>
      <c r="B14" s="3" t="s">
        <v>20</v>
      </c>
      <c r="C14" s="3">
        <v>18</v>
      </c>
      <c r="E14" s="3" t="str">
        <f t="shared" si="0"/>
        <v>12 Q3</v>
      </c>
      <c r="F14" s="3">
        <f t="shared" si="0"/>
        <v>18</v>
      </c>
      <c r="G14">
        <f t="shared" si="3"/>
        <v>28.008294840987695</v>
      </c>
      <c r="H14">
        <f t="shared" si="4"/>
        <v>1.8868157752571726</v>
      </c>
      <c r="I14">
        <f t="shared" si="5"/>
        <v>-7.1081512712727424</v>
      </c>
      <c r="J14">
        <f t="shared" si="6"/>
        <v>21.830230248964916</v>
      </c>
    </row>
    <row r="15" spans="1:10" x14ac:dyDescent="0.35">
      <c r="A15" s="3">
        <f t="shared" si="2"/>
        <v>12</v>
      </c>
      <c r="B15" s="3" t="s">
        <v>21</v>
      </c>
      <c r="C15" s="3">
        <v>40</v>
      </c>
      <c r="E15" s="3" t="str">
        <f t="shared" si="0"/>
        <v>12 Q4</v>
      </c>
      <c r="F15" s="3">
        <f t="shared" si="0"/>
        <v>40</v>
      </c>
      <c r="G15">
        <f t="shared" si="3"/>
        <v>29.877853459090133</v>
      </c>
      <c r="H15">
        <f t="shared" si="4"/>
        <v>1.8695586181024382</v>
      </c>
      <c r="I15">
        <f t="shared" si="5"/>
        <v>10.963407228536408</v>
      </c>
      <c r="J15">
        <f t="shared" si="6"/>
        <v>41.111056075520047</v>
      </c>
    </row>
    <row r="16" spans="1:10" x14ac:dyDescent="0.35">
      <c r="A16" s="3">
        <f t="shared" si="2"/>
        <v>13</v>
      </c>
      <c r="B16" s="3" t="s">
        <v>22</v>
      </c>
      <c r="C16" s="3">
        <v>28</v>
      </c>
      <c r="E16" s="3" t="str">
        <f t="shared" si="0"/>
        <v>13 Q1</v>
      </c>
      <c r="F16" s="3">
        <f t="shared" si="0"/>
        <v>28</v>
      </c>
      <c r="G16">
        <f t="shared" si="3"/>
        <v>31.761679951831049</v>
      </c>
      <c r="H16">
        <f t="shared" si="4"/>
        <v>1.8838264927409156</v>
      </c>
      <c r="I16">
        <f t="shared" si="5"/>
        <v>-4.457217572640042</v>
      </c>
      <c r="J16">
        <f t="shared" si="6"/>
        <v>27.081400913273562</v>
      </c>
    </row>
    <row r="17" spans="1:11" x14ac:dyDescent="0.35">
      <c r="A17" s="3">
        <f t="shared" si="2"/>
        <v>14</v>
      </c>
      <c r="B17" s="3" t="s">
        <v>23</v>
      </c>
      <c r="C17" s="3">
        <v>40</v>
      </c>
      <c r="E17" s="3" t="str">
        <f t="shared" si="0"/>
        <v>13 Q2</v>
      </c>
      <c r="F17" s="3">
        <f t="shared" si="0"/>
        <v>40</v>
      </c>
      <c r="G17">
        <f t="shared" si="3"/>
        <v>33.732849759643869</v>
      </c>
      <c r="H17">
        <f t="shared" si="4"/>
        <v>1.9711698078128208</v>
      </c>
      <c r="I17">
        <f t="shared" si="5"/>
        <v>2.0092938252975481</v>
      </c>
      <c r="J17">
        <f t="shared" si="6"/>
        <v>34.376633416700244</v>
      </c>
    </row>
    <row r="18" spans="1:11" x14ac:dyDescent="0.35">
      <c r="A18" s="3">
        <f t="shared" si="2"/>
        <v>15</v>
      </c>
      <c r="B18" s="3" t="s">
        <v>24</v>
      </c>
      <c r="C18" s="3">
        <v>25</v>
      </c>
      <c r="E18" s="3" t="str">
        <f t="shared" si="0"/>
        <v>13 Q3</v>
      </c>
      <c r="F18" s="3">
        <f t="shared" si="0"/>
        <v>25</v>
      </c>
      <c r="G18">
        <f t="shared" si="3"/>
        <v>35.648167783138838</v>
      </c>
      <c r="H18">
        <f t="shared" si="4"/>
        <v>1.9153180234949687</v>
      </c>
      <c r="I18">
        <f t="shared" si="5"/>
        <v>-7.9254765507937499</v>
      </c>
      <c r="J18">
        <f t="shared" si="6"/>
        <v>28.595868296183948</v>
      </c>
    </row>
    <row r="19" spans="1:11" x14ac:dyDescent="0.35">
      <c r="A19" s="5">
        <f t="shared" si="2"/>
        <v>16</v>
      </c>
      <c r="B19" s="5" t="s">
        <v>25</v>
      </c>
      <c r="C19" s="5">
        <v>65</v>
      </c>
      <c r="E19" s="5" t="str">
        <f t="shared" si="0"/>
        <v>13 Q4</v>
      </c>
      <c r="F19" s="5">
        <f t="shared" si="0"/>
        <v>65</v>
      </c>
      <c r="G19" s="7">
        <f t="shared" si="3"/>
        <v>37.819349576233186</v>
      </c>
      <c r="H19" s="7">
        <f t="shared" si="4"/>
        <v>2.1711817930943482</v>
      </c>
      <c r="I19" s="7">
        <f t="shared" si="5"/>
        <v>14.707673048532452</v>
      </c>
      <c r="J19" s="7">
        <f t="shared" si="6"/>
        <v>48.526893035170218</v>
      </c>
    </row>
    <row r="20" spans="1:11" x14ac:dyDescent="0.35">
      <c r="E20" s="3" t="s">
        <v>33</v>
      </c>
      <c r="I20">
        <f>I16</f>
        <v>-4.457217572640042</v>
      </c>
      <c r="J20">
        <f>$G$19+$H$19*(ROW(G20)-ROW($G$19))+I20</f>
        <v>35.533313796687494</v>
      </c>
    </row>
    <row r="21" spans="1:11" x14ac:dyDescent="0.35">
      <c r="E21" s="3" t="s">
        <v>34</v>
      </c>
      <c r="I21">
        <f t="shared" ref="I21:I23" si="7">I17</f>
        <v>2.0092938252975481</v>
      </c>
      <c r="J21">
        <f t="shared" ref="J21:J23" si="8">$G$19+$H$19*(ROW(G21)-ROW($G$19))+I21</f>
        <v>44.17100698771943</v>
      </c>
    </row>
    <row r="22" spans="1:11" x14ac:dyDescent="0.35">
      <c r="E22" s="3" t="s">
        <v>35</v>
      </c>
      <c r="I22">
        <f t="shared" si="7"/>
        <v>-7.9254765507937499</v>
      </c>
      <c r="J22">
        <f t="shared" si="8"/>
        <v>36.407418404722478</v>
      </c>
    </row>
    <row r="23" spans="1:11" x14ac:dyDescent="0.35">
      <c r="E23" s="5" t="s">
        <v>36</v>
      </c>
      <c r="F23" s="7"/>
      <c r="G23" s="7"/>
      <c r="H23" s="7"/>
      <c r="I23" s="7">
        <f t="shared" si="7"/>
        <v>14.707673048532452</v>
      </c>
      <c r="J23" s="7">
        <f t="shared" si="8"/>
        <v>61.211749797143028</v>
      </c>
    </row>
    <row r="25" spans="1:11" x14ac:dyDescent="0.35">
      <c r="F25" s="13" t="s">
        <v>26</v>
      </c>
      <c r="G25" s="13" t="s">
        <v>27</v>
      </c>
      <c r="H25" s="13" t="s">
        <v>28</v>
      </c>
      <c r="I25" s="13" t="s">
        <v>29</v>
      </c>
      <c r="J25" s="13" t="s">
        <v>30</v>
      </c>
      <c r="K25" s="13" t="s">
        <v>45</v>
      </c>
    </row>
    <row r="26" spans="1:11" x14ac:dyDescent="0.35">
      <c r="F26" s="14">
        <v>1.5532210781223502E-2</v>
      </c>
      <c r="G26" s="15">
        <v>1</v>
      </c>
      <c r="H26" s="16">
        <v>0.2308817704045566</v>
      </c>
      <c r="I26" s="14">
        <f>SUMPRODUCT(ABS(F8:F19-J8:J19))/COUNT(J8:J19)</f>
        <v>4.004476124133002</v>
      </c>
      <c r="J26" s="18">
        <f>SUMXMY2(F8:F19,J8:J19)/COUNT(J8:J19)</f>
        <v>33.864869070264326</v>
      </c>
      <c r="K26" s="16">
        <f>SUMPRODUCT(ABS(1-J8:J19/F8:F19))/COUNT(J8:J19)</f>
        <v>0.14359191865729018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93D0-7D68-460F-8AD3-F50683FE0ED8}">
  <sheetPr codeName="Sheet96"/>
  <dimension ref="A1:M30"/>
  <sheetViews>
    <sheetView zoomScaleNormal="100" workbookViewId="0"/>
  </sheetViews>
  <sheetFormatPr defaultRowHeight="14.5" x14ac:dyDescent="0.35"/>
  <cols>
    <col min="1" max="1" width="5.6328125" customWidth="1"/>
    <col min="2" max="3" width="6.81640625" customWidth="1"/>
    <col min="5" max="5" width="6.6328125" customWidth="1"/>
  </cols>
  <sheetData>
    <row r="1" spans="1:13" x14ac:dyDescent="0.35">
      <c r="A1" s="1" t="s">
        <v>47</v>
      </c>
    </row>
    <row r="3" spans="1:13" x14ac:dyDescent="0.35">
      <c r="A3" s="2" t="s">
        <v>2</v>
      </c>
      <c r="B3" s="2" t="s">
        <v>1</v>
      </c>
      <c r="C3" s="2" t="s">
        <v>3</v>
      </c>
      <c r="E3" t="s">
        <v>46</v>
      </c>
      <c r="J3" t="s">
        <v>48</v>
      </c>
      <c r="K3" s="19">
        <v>0.05</v>
      </c>
    </row>
    <row r="4" spans="1:13" ht="15" thickBot="1" x14ac:dyDescent="0.4">
      <c r="A4" s="3">
        <v>1</v>
      </c>
      <c r="B4" s="3" t="s">
        <v>10</v>
      </c>
      <c r="C4" s="3">
        <v>10</v>
      </c>
    </row>
    <row r="5" spans="1:13" ht="15" thickTop="1" x14ac:dyDescent="0.35">
      <c r="A5" s="3">
        <f t="shared" ref="A5:A19" si="0">A4+1</f>
        <v>2</v>
      </c>
      <c r="B5" s="3" t="s">
        <v>11</v>
      </c>
      <c r="C5" s="3">
        <v>14</v>
      </c>
      <c r="E5" s="12" t="str">
        <f t="shared" ref="E5:F21" si="1">B3</f>
        <v>qtr</v>
      </c>
      <c r="F5" s="12" t="str">
        <f t="shared" si="1"/>
        <v>y</v>
      </c>
      <c r="G5" s="12" t="s">
        <v>4</v>
      </c>
      <c r="H5" s="12" t="s">
        <v>5</v>
      </c>
      <c r="I5" s="12" t="s">
        <v>6</v>
      </c>
      <c r="J5" s="12" t="s">
        <v>43</v>
      </c>
      <c r="K5" s="12" t="s">
        <v>49</v>
      </c>
      <c r="L5" s="12" t="s">
        <v>50</v>
      </c>
      <c r="M5" s="12" t="s">
        <v>51</v>
      </c>
    </row>
    <row r="6" spans="1:13" x14ac:dyDescent="0.35">
      <c r="A6" s="3">
        <f t="shared" si="0"/>
        <v>3</v>
      </c>
      <c r="B6" s="3" t="s">
        <v>12</v>
      </c>
      <c r="C6" s="3">
        <v>8</v>
      </c>
      <c r="E6" t="str">
        <f t="shared" si="1"/>
        <v>10 Q1</v>
      </c>
      <c r="F6">
        <f t="shared" si="1"/>
        <v>10</v>
      </c>
      <c r="I6">
        <f>F6-AVERAGE($F$6:$F$9)</f>
        <v>-4.25</v>
      </c>
    </row>
    <row r="7" spans="1:13" x14ac:dyDescent="0.35">
      <c r="A7" s="3">
        <f t="shared" si="0"/>
        <v>4</v>
      </c>
      <c r="B7" s="3" t="s">
        <v>13</v>
      </c>
      <c r="C7" s="3">
        <v>25</v>
      </c>
      <c r="E7" t="str">
        <f t="shared" si="1"/>
        <v>10 Q2</v>
      </c>
      <c r="F7">
        <f t="shared" si="1"/>
        <v>14</v>
      </c>
      <c r="I7">
        <f>F7-AVERAGE($F$6:$F$9)</f>
        <v>-0.25</v>
      </c>
    </row>
    <row r="8" spans="1:13" x14ac:dyDescent="0.35">
      <c r="A8" s="3">
        <f t="shared" si="0"/>
        <v>5</v>
      </c>
      <c r="B8" s="3" t="s">
        <v>14</v>
      </c>
      <c r="C8" s="3">
        <v>16</v>
      </c>
      <c r="E8" t="str">
        <f t="shared" si="1"/>
        <v>10 Q3</v>
      </c>
      <c r="F8">
        <f t="shared" si="1"/>
        <v>8</v>
      </c>
      <c r="I8">
        <f>F8-AVERAGE($F$6:$F$9)</f>
        <v>-6.25</v>
      </c>
    </row>
    <row r="9" spans="1:13" x14ac:dyDescent="0.35">
      <c r="A9" s="3">
        <f t="shared" si="0"/>
        <v>6</v>
      </c>
      <c r="B9" s="3" t="s">
        <v>15</v>
      </c>
      <c r="C9" s="3">
        <v>22</v>
      </c>
      <c r="E9" t="str">
        <f t="shared" si="1"/>
        <v>10 Q4</v>
      </c>
      <c r="F9">
        <f t="shared" si="1"/>
        <v>25</v>
      </c>
      <c r="G9">
        <f>F9-I9</f>
        <v>14.25</v>
      </c>
      <c r="H9">
        <f>(AVERAGE(F10:F13)-AVERAGE(F6:F9))/4</f>
        <v>1.875</v>
      </c>
      <c r="I9">
        <f>F9-AVERAGE($F$6:$F$9)</f>
        <v>10.75</v>
      </c>
    </row>
    <row r="10" spans="1:13" x14ac:dyDescent="0.35">
      <c r="A10" s="3">
        <f t="shared" si="0"/>
        <v>7</v>
      </c>
      <c r="B10" s="3" t="s">
        <v>16</v>
      </c>
      <c r="C10" s="3">
        <v>14</v>
      </c>
      <c r="E10" t="str">
        <f t="shared" si="1"/>
        <v>11 Q1</v>
      </c>
      <c r="F10">
        <f t="shared" si="1"/>
        <v>16</v>
      </c>
      <c r="G10">
        <f t="shared" ref="G10:G21" si="2">$F$30*(F10-I6)+(1-$F$30)*(G9+H9)</f>
        <v>16.189070198353864</v>
      </c>
      <c r="H10">
        <f t="shared" ref="H10:H21" si="3">$G$30*(G10-G9)+(1-$G$30)*H9</f>
        <v>1.9390701983538641</v>
      </c>
      <c r="I10">
        <f t="shared" ref="I10:I21" si="4">$H$30*(F10-G10)+(1-$H$30)*I6</f>
        <v>-3.3124030167620941</v>
      </c>
      <c r="J10">
        <f t="shared" ref="J10:J21" si="5">G9+H9+I6</f>
        <v>11.875</v>
      </c>
    </row>
    <row r="11" spans="1:13" x14ac:dyDescent="0.35">
      <c r="A11" s="3">
        <f t="shared" si="0"/>
        <v>8</v>
      </c>
      <c r="B11" s="3" t="s">
        <v>17</v>
      </c>
      <c r="C11" s="3">
        <v>35</v>
      </c>
      <c r="E11" t="str">
        <f t="shared" si="1"/>
        <v>11 Q2</v>
      </c>
      <c r="F11">
        <f t="shared" si="1"/>
        <v>22</v>
      </c>
      <c r="G11">
        <f t="shared" si="2"/>
        <v>18.192161817888266</v>
      </c>
      <c r="H11">
        <f t="shared" si="3"/>
        <v>2.003091619534402</v>
      </c>
      <c r="I11">
        <f t="shared" si="4"/>
        <v>0.68688318287927874</v>
      </c>
      <c r="J11">
        <f t="shared" si="5"/>
        <v>17.878140396707728</v>
      </c>
      <c r="K11">
        <f>SQRT(SUMXMY2(F$10:F10,J$10:J10)/COUNT(J$10:J10))</f>
        <v>4.125</v>
      </c>
      <c r="L11">
        <f t="shared" ref="L11:L27" si="6">J11-_xlfn.NORM.S.INV(1-K$3/2)*K11</f>
        <v>9.7932889604800071</v>
      </c>
      <c r="M11">
        <f t="shared" ref="M11:M27" si="7">J11+_xlfn.NORM.S.INV(1-K$3/2)*K11</f>
        <v>25.962991832935451</v>
      </c>
    </row>
    <row r="12" spans="1:13" x14ac:dyDescent="0.35">
      <c r="A12" s="3">
        <f t="shared" si="0"/>
        <v>9</v>
      </c>
      <c r="B12" s="3" t="s">
        <v>18</v>
      </c>
      <c r="C12" s="3">
        <v>15</v>
      </c>
      <c r="E12" t="str">
        <f t="shared" si="1"/>
        <v>11 Q3</v>
      </c>
      <c r="F12">
        <f t="shared" si="1"/>
        <v>14</v>
      </c>
      <c r="G12">
        <f t="shared" si="2"/>
        <v>20.1961037703011</v>
      </c>
      <c r="H12">
        <f t="shared" si="3"/>
        <v>2.0039419524128341</v>
      </c>
      <c r="I12">
        <f t="shared" si="4"/>
        <v>-6.2375563122629938</v>
      </c>
      <c r="J12">
        <f t="shared" si="5"/>
        <v>13.945253437422668</v>
      </c>
      <c r="K12">
        <f>SQRT(SUMXMY2(F$10:F11,J$10:J11)/COUNT(J$10:J11))</f>
        <v>4.1234301006111842</v>
      </c>
      <c r="L12">
        <f t="shared" si="6"/>
        <v>5.8634789474563771</v>
      </c>
      <c r="M12">
        <f t="shared" si="7"/>
        <v>22.027027927388957</v>
      </c>
    </row>
    <row r="13" spans="1:13" x14ac:dyDescent="0.35">
      <c r="A13" s="3">
        <f t="shared" si="0"/>
        <v>10</v>
      </c>
      <c r="B13" s="3" t="s">
        <v>19</v>
      </c>
      <c r="C13" s="3">
        <v>27</v>
      </c>
      <c r="E13" t="str">
        <f t="shared" si="1"/>
        <v>11 Q4</v>
      </c>
      <c r="F13">
        <f t="shared" si="1"/>
        <v>35</v>
      </c>
      <c r="G13">
        <f t="shared" si="2"/>
        <v>22.231885959601708</v>
      </c>
      <c r="H13">
        <f t="shared" si="3"/>
        <v>2.0357821893006083</v>
      </c>
      <c r="I13">
        <f t="shared" si="4"/>
        <v>11.215946896038558</v>
      </c>
      <c r="J13">
        <f t="shared" si="5"/>
        <v>32.950045722713938</v>
      </c>
      <c r="K13">
        <f>SQRT(SUMXMY2(F$10:F12,J$10:J12)/COUNT(J$10:J12))</f>
        <v>3.3669149467213435</v>
      </c>
      <c r="L13">
        <f t="shared" si="6"/>
        <v>26.351013688130511</v>
      </c>
      <c r="M13">
        <f t="shared" si="7"/>
        <v>39.549077757297368</v>
      </c>
    </row>
    <row r="14" spans="1:13" x14ac:dyDescent="0.35">
      <c r="A14" s="3">
        <f t="shared" si="0"/>
        <v>11</v>
      </c>
      <c r="B14" s="3" t="s">
        <v>20</v>
      </c>
      <c r="C14" s="3">
        <v>18</v>
      </c>
      <c r="E14" t="str">
        <f t="shared" si="1"/>
        <v>12 Q1</v>
      </c>
      <c r="F14">
        <f t="shared" si="1"/>
        <v>15</v>
      </c>
      <c r="G14">
        <f t="shared" si="2"/>
        <v>24.175169962656</v>
      </c>
      <c r="H14">
        <f t="shared" si="3"/>
        <v>1.9432840030542913</v>
      </c>
      <c r="I14">
        <f t="shared" si="4"/>
        <v>-4.6660123797382305</v>
      </c>
      <c r="J14">
        <f t="shared" si="5"/>
        <v>20.955265132140223</v>
      </c>
      <c r="K14">
        <f>SQRT(SUMXMY2(F$10:F13,J$10:J13)/COUNT(J$10:J13))</f>
        <v>3.0907386380253095</v>
      </c>
      <c r="L14">
        <f t="shared" si="6"/>
        <v>14.89752871598424</v>
      </c>
      <c r="M14">
        <f t="shared" si="7"/>
        <v>27.013001548296206</v>
      </c>
    </row>
    <row r="15" spans="1:13" x14ac:dyDescent="0.35">
      <c r="A15" s="3">
        <f t="shared" si="0"/>
        <v>12</v>
      </c>
      <c r="B15" s="3" t="s">
        <v>21</v>
      </c>
      <c r="C15" s="3">
        <v>40</v>
      </c>
      <c r="E15" t="str">
        <f t="shared" si="1"/>
        <v>12 Q2</v>
      </c>
      <c r="F15">
        <f t="shared" si="1"/>
        <v>27</v>
      </c>
      <c r="G15">
        <f t="shared" si="2"/>
        <v>26.121477502074413</v>
      </c>
      <c r="H15">
        <f t="shared" si="3"/>
        <v>1.9463075394184131</v>
      </c>
      <c r="I15">
        <f t="shared" si="4"/>
        <v>0.73112931675343784</v>
      </c>
      <c r="J15">
        <f t="shared" si="5"/>
        <v>26.805337148589569</v>
      </c>
      <c r="K15">
        <f>SQRT(SUMXMY2(F$10:F14,J$10:J14)/COUNT(J$10:J14))</f>
        <v>3.8386415333660757</v>
      </c>
      <c r="L15">
        <f t="shared" si="6"/>
        <v>19.281737993632454</v>
      </c>
      <c r="M15">
        <f t="shared" si="7"/>
        <v>34.328936303546683</v>
      </c>
    </row>
    <row r="16" spans="1:13" x14ac:dyDescent="0.35">
      <c r="A16" s="3">
        <f t="shared" si="0"/>
        <v>13</v>
      </c>
      <c r="B16" s="3" t="s">
        <v>22</v>
      </c>
      <c r="C16" s="3">
        <v>28</v>
      </c>
      <c r="E16" t="str">
        <f t="shared" si="1"/>
        <v>12 Q3</v>
      </c>
      <c r="F16">
        <f t="shared" si="1"/>
        <v>18</v>
      </c>
      <c r="G16">
        <f t="shared" si="2"/>
        <v>28.008293280420727</v>
      </c>
      <c r="H16">
        <f t="shared" si="3"/>
        <v>1.886815778346314</v>
      </c>
      <c r="I16">
        <f t="shared" si="4"/>
        <v>-7.1081528944780361</v>
      </c>
      <c r="J16">
        <f t="shared" si="5"/>
        <v>21.83022872922983</v>
      </c>
      <c r="K16">
        <f>SQRT(SUMXMY2(F$10:F15,J$10:J15)/COUNT(J$10:J15))</f>
        <v>3.5050852993456645</v>
      </c>
      <c r="L16">
        <f t="shared" si="6"/>
        <v>14.960387779771535</v>
      </c>
      <c r="M16">
        <f t="shared" si="7"/>
        <v>28.700069678688124</v>
      </c>
    </row>
    <row r="17" spans="1:13" x14ac:dyDescent="0.35">
      <c r="A17" s="3">
        <f t="shared" si="0"/>
        <v>14</v>
      </c>
      <c r="B17" s="3" t="s">
        <v>23</v>
      </c>
      <c r="C17" s="3">
        <v>40</v>
      </c>
      <c r="E17" t="str">
        <f t="shared" si="1"/>
        <v>12 Q4</v>
      </c>
      <c r="F17">
        <f t="shared" si="1"/>
        <v>40</v>
      </c>
      <c r="G17">
        <f t="shared" si="2"/>
        <v>29.877851949577558</v>
      </c>
      <c r="H17">
        <f t="shared" si="3"/>
        <v>1.8695586691568309</v>
      </c>
      <c r="I17">
        <f t="shared" si="4"/>
        <v>10.963408056902981</v>
      </c>
      <c r="J17">
        <f t="shared" si="5"/>
        <v>41.1110559548056</v>
      </c>
      <c r="K17">
        <f>SQRT(SUMXMY2(F$10:F16,J$10:J16)/COUNT(J$10:J16))</f>
        <v>3.5533563580759626</v>
      </c>
      <c r="L17">
        <f t="shared" si="6"/>
        <v>34.146605468740304</v>
      </c>
      <c r="M17">
        <f t="shared" si="7"/>
        <v>48.075506440870896</v>
      </c>
    </row>
    <row r="18" spans="1:13" x14ac:dyDescent="0.35">
      <c r="A18" s="3">
        <f t="shared" si="0"/>
        <v>15</v>
      </c>
      <c r="B18" s="3" t="s">
        <v>24</v>
      </c>
      <c r="C18" s="3">
        <v>25</v>
      </c>
      <c r="E18" t="str">
        <f t="shared" si="1"/>
        <v>13 Q1</v>
      </c>
      <c r="F18">
        <f t="shared" si="1"/>
        <v>28</v>
      </c>
      <c r="G18">
        <f t="shared" si="2"/>
        <v>31.761678496803658</v>
      </c>
      <c r="H18">
        <f t="shared" si="3"/>
        <v>1.8838265472261</v>
      </c>
      <c r="I18">
        <f t="shared" si="4"/>
        <v>-4.4572176549105382</v>
      </c>
      <c r="J18">
        <f t="shared" si="5"/>
        <v>27.081398238996158</v>
      </c>
      <c r="K18">
        <f>SQRT(SUMXMY2(F$10:F17,J$10:J17)/COUNT(J$10:J17))</f>
        <v>3.3469918431903345</v>
      </c>
      <c r="L18">
        <f t="shared" si="6"/>
        <v>20.521414769793772</v>
      </c>
      <c r="M18">
        <f t="shared" si="7"/>
        <v>33.641381708198544</v>
      </c>
    </row>
    <row r="19" spans="1:13" x14ac:dyDescent="0.35">
      <c r="A19" s="5">
        <f t="shared" si="0"/>
        <v>16</v>
      </c>
      <c r="B19" s="5" t="s">
        <v>25</v>
      </c>
      <c r="C19" s="5">
        <v>65</v>
      </c>
      <c r="E19" t="str">
        <f t="shared" si="1"/>
        <v>13 Q2</v>
      </c>
      <c r="F19">
        <f t="shared" si="1"/>
        <v>40</v>
      </c>
      <c r="G19">
        <f t="shared" si="2"/>
        <v>33.732848111162106</v>
      </c>
      <c r="H19">
        <f t="shared" si="3"/>
        <v>1.9711696143584483</v>
      </c>
      <c r="I19">
        <f t="shared" si="4"/>
        <v>2.0092991734742549</v>
      </c>
      <c r="J19">
        <f t="shared" si="5"/>
        <v>34.3766343607832</v>
      </c>
      <c r="K19">
        <f>SQRT(SUMXMY2(F$10:F18,J$10:J18)/COUNT(J$10:J18))</f>
        <v>3.1703954254316331</v>
      </c>
      <c r="L19">
        <f t="shared" si="6"/>
        <v>28.162773510186657</v>
      </c>
      <c r="M19">
        <f t="shared" si="7"/>
        <v>40.590495211379739</v>
      </c>
    </row>
    <row r="20" spans="1:13" x14ac:dyDescent="0.35">
      <c r="E20" t="str">
        <f t="shared" si="1"/>
        <v>13 Q3</v>
      </c>
      <c r="F20">
        <f t="shared" si="1"/>
        <v>25</v>
      </c>
      <c r="G20">
        <f t="shared" si="2"/>
        <v>35.648166144192423</v>
      </c>
      <c r="H20">
        <f t="shared" si="3"/>
        <v>1.9153180330303172</v>
      </c>
      <c r="I20">
        <f t="shared" si="4"/>
        <v>-7.9254794442275518</v>
      </c>
      <c r="J20">
        <f t="shared" si="5"/>
        <v>28.595864831042523</v>
      </c>
      <c r="K20">
        <f>SQRT(SUMXMY2(F$10:F19,J$10:J19)/COUNT(J$10:J19))</f>
        <v>3.4940650465425596</v>
      </c>
      <c r="L20">
        <f t="shared" si="6"/>
        <v>21.747623180178842</v>
      </c>
      <c r="M20">
        <f t="shared" si="7"/>
        <v>35.444106481906203</v>
      </c>
    </row>
    <row r="21" spans="1:13" x14ac:dyDescent="0.35">
      <c r="E21" s="7" t="str">
        <f t="shared" si="1"/>
        <v>13 Q4</v>
      </c>
      <c r="F21" s="7">
        <f t="shared" si="1"/>
        <v>65</v>
      </c>
      <c r="G21" s="7">
        <f t="shared" si="2"/>
        <v>37.819347275904946</v>
      </c>
      <c r="H21" s="7">
        <f t="shared" si="3"/>
        <v>2.1711811317125225</v>
      </c>
      <c r="I21" s="7">
        <f t="shared" si="4"/>
        <v>14.707683486196714</v>
      </c>
      <c r="J21" s="7">
        <f t="shared" si="5"/>
        <v>48.526892234125725</v>
      </c>
      <c r="K21" s="7">
        <f>SQRT(SUMXMY2(F$10:F20,J$10:J20)/COUNT(J$10:J20))</f>
        <v>3.5034418061235035</v>
      </c>
      <c r="L21" s="7">
        <f t="shared" si="6"/>
        <v>41.6602724721917</v>
      </c>
      <c r="M21" s="7">
        <f t="shared" si="7"/>
        <v>55.39351199605975</v>
      </c>
    </row>
    <row r="22" spans="1:13" x14ac:dyDescent="0.35">
      <c r="E22" t="s">
        <v>33</v>
      </c>
      <c r="I22">
        <f t="shared" ref="I22:I27" si="8">I18</f>
        <v>-4.4572176549105382</v>
      </c>
      <c r="J22">
        <f t="shared" ref="J22:J27" si="9">$G$21+$H$21*(ROW(G22)-ROW($G$21))+I22</f>
        <v>35.533310752706932</v>
      </c>
      <c r="K22">
        <f>SQRT(SUMXMY2(F$10:F21,J$10:J21)/COUNT(J$10:J21))</f>
        <v>5.8193529769492729</v>
      </c>
      <c r="L22">
        <f t="shared" si="6"/>
        <v>24.127588504560414</v>
      </c>
      <c r="M22">
        <f t="shared" si="7"/>
        <v>46.939033000853449</v>
      </c>
    </row>
    <row r="23" spans="1:13" x14ac:dyDescent="0.35">
      <c r="E23" t="s">
        <v>34</v>
      </c>
      <c r="I23">
        <f t="shared" si="8"/>
        <v>2.0092991734742549</v>
      </c>
      <c r="J23">
        <f t="shared" si="9"/>
        <v>44.171008712804245</v>
      </c>
      <c r="K23">
        <f>K$22*SQRT((K22/K$22)^2-1+(F$30*(1+(ROW(J23)-ROW(J$22))*G$30))^2+1)</f>
        <v>5.8221601177235494</v>
      </c>
      <c r="L23">
        <f t="shared" si="6"/>
        <v>32.759784569840612</v>
      </c>
      <c r="M23">
        <f t="shared" si="7"/>
        <v>55.582232855767877</v>
      </c>
    </row>
    <row r="24" spans="1:13" x14ac:dyDescent="0.35">
      <c r="E24" t="s">
        <v>35</v>
      </c>
      <c r="I24">
        <f t="shared" si="8"/>
        <v>-7.9254794442275518</v>
      </c>
      <c r="J24">
        <f t="shared" si="9"/>
        <v>36.407411226814958</v>
      </c>
      <c r="K24">
        <f>K$22*SQRT((K23/K$22)^2-1+(F$30*(1+(ROW(J24)-ROW(J$22))*G$30))^2+1)</f>
        <v>5.8284712412515125</v>
      </c>
      <c r="L24">
        <f t="shared" si="6"/>
        <v>24.98381750903453</v>
      </c>
      <c r="M24">
        <f t="shared" si="7"/>
        <v>47.831004944595385</v>
      </c>
    </row>
    <row r="25" spans="1:13" x14ac:dyDescent="0.35">
      <c r="E25" t="s">
        <v>36</v>
      </c>
      <c r="I25">
        <f t="shared" si="8"/>
        <v>14.707683486196714</v>
      </c>
      <c r="J25">
        <f t="shared" si="9"/>
        <v>61.21175528895175</v>
      </c>
      <c r="K25">
        <f>K$22*SQRT((K24/K$22)^2-1+(F$30*(1+(ROW(J25)-ROW(J$22))*G$30))^2+1)</f>
        <v>5.8396741753650314</v>
      </c>
      <c r="L25">
        <f t="shared" si="6"/>
        <v>49.766204223787653</v>
      </c>
      <c r="M25">
        <f t="shared" si="7"/>
        <v>72.657306354115846</v>
      </c>
    </row>
    <row r="26" spans="1:13" x14ac:dyDescent="0.35">
      <c r="E26" t="s">
        <v>52</v>
      </c>
      <c r="I26">
        <f t="shared" si="8"/>
        <v>-4.4572176549105382</v>
      </c>
      <c r="J26">
        <f t="shared" si="9"/>
        <v>44.218035279557022</v>
      </c>
      <c r="K26">
        <f>K$22*SQRT((K25/K$22)^2-1+(F$30*(1+(ROW(J26)-ROW(J$22))*G$30+(1-F$30)*H$30))^2+1)</f>
        <v>5.8587568935873175</v>
      </c>
      <c r="L26">
        <f t="shared" si="6"/>
        <v>32.735082773950111</v>
      </c>
      <c r="M26">
        <f t="shared" si="7"/>
        <v>55.700987785163932</v>
      </c>
    </row>
    <row r="27" spans="1:13" x14ac:dyDescent="0.35">
      <c r="E27" t="s">
        <v>53</v>
      </c>
      <c r="I27">
        <f t="shared" si="8"/>
        <v>2.0092991734742549</v>
      </c>
      <c r="J27">
        <f t="shared" si="9"/>
        <v>52.855733239654334</v>
      </c>
      <c r="K27">
        <f>K$22*SQRT((K26/K$22)^2-1+(F$30*(1+(ROW(J27)-ROW(J$22))*G$30))^2+1)</f>
        <v>5.8838037554712752</v>
      </c>
      <c r="L27">
        <f t="shared" si="6"/>
        <v>41.323689786829121</v>
      </c>
      <c r="M27">
        <f t="shared" si="7"/>
        <v>64.387776692479548</v>
      </c>
    </row>
    <row r="29" spans="1:13" x14ac:dyDescent="0.35">
      <c r="F29" s="13" t="s">
        <v>26</v>
      </c>
      <c r="G29" s="13" t="s">
        <v>27</v>
      </c>
      <c r="H29" s="13" t="s">
        <v>28</v>
      </c>
      <c r="I29" s="13" t="s">
        <v>29</v>
      </c>
      <c r="J29" s="13" t="s">
        <v>30</v>
      </c>
      <c r="K29" s="13" t="s">
        <v>45</v>
      </c>
    </row>
    <row r="30" spans="1:13" x14ac:dyDescent="0.35">
      <c r="F30" s="14">
        <v>1.5532169297905837E-2</v>
      </c>
      <c r="G30" s="15">
        <v>1</v>
      </c>
      <c r="H30" s="16">
        <v>0.23088234198430174</v>
      </c>
      <c r="I30" s="14">
        <f>SUMPRODUCT(ABS(F10:F21-J10:J21))/COUNT(J10:J21)</f>
        <v>4.0044760923232658</v>
      </c>
      <c r="J30" s="18">
        <f>SUMXMY2(F10:F21,J10:J21)/COUNT(J10:J21)</f>
        <v>33.864869070328361</v>
      </c>
      <c r="K30" s="16">
        <f>SUMPRODUCT(ABS(1-J10:J21/F10:F21))/COUNT(J10:J21)</f>
        <v>0.14359191727826218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</vt:lpstr>
      <vt:lpstr>Holt-Winters</vt:lpstr>
      <vt:lpstr>Holt-Winters 1</vt:lpstr>
      <vt:lpstr>Holt-Winters 2</vt:lpstr>
      <vt:lpstr>Holt-Winters 3</vt:lpstr>
      <vt:lpstr>Holt-Winters 4</vt:lpstr>
      <vt:lpstr>Holt-Winters 4a</vt:lpstr>
      <vt:lpstr>Holt-Winters 5</vt:lpstr>
      <vt:lpstr>Holt-Winters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ALVIN ARIANTO PRADIPTA</cp:lastModifiedBy>
  <dcterms:created xsi:type="dcterms:W3CDTF">2023-01-15T09:27:59Z</dcterms:created>
  <dcterms:modified xsi:type="dcterms:W3CDTF">2024-05-08T09:09:11Z</dcterms:modified>
</cp:coreProperties>
</file>