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lvin\Desktop\gelaran maju\reports\"/>
    </mc:Choice>
  </mc:AlternateContent>
  <xr:revisionPtr revIDLastSave="0" documentId="13_ncr:1_{58518EFA-70E8-464C-940D-712C5F2E027D}" xr6:coauthVersionLast="47" xr6:coauthVersionMax="47" xr10:uidLastSave="{00000000-0000-0000-0000-000000000000}"/>
  <bookViews>
    <workbookView xWindow="-108" yWindow="-108" windowWidth="23256" windowHeight="13176" firstSheet="5" activeTab="9" xr2:uid="{00000000-000D-0000-FFFF-FFFF00000000}"/>
  </bookViews>
  <sheets>
    <sheet name="PROGRESSION" sheetId="1" r:id="rId1"/>
    <sheet name="Sheet1" sheetId="2" r:id="rId2"/>
    <sheet name="Sheet2" sheetId="3" r:id="rId3"/>
    <sheet name="COMPARE" sheetId="4" r:id="rId4"/>
    <sheet name="FLOORS" sheetId="5" r:id="rId5"/>
    <sheet name="ORDER" sheetId="6" r:id="rId6"/>
    <sheet name="SITE REPORT" sheetId="7" r:id="rId7"/>
    <sheet name="PO LOG" sheetId="8" r:id="rId8"/>
    <sheet name="MANPOWER" sheetId="9" r:id="rId9"/>
    <sheet name="AIPOON" sheetId="10" r:id="rId10"/>
    <sheet name="ARIYAN" sheetId="11" r:id="rId11"/>
  </sheets>
  <definedNames>
    <definedName name="solver_eng" localSheetId="9" hidden="1">0</definedName>
    <definedName name="solver_eng" localSheetId="8" hidden="1">0</definedName>
    <definedName name="solver_eng" localSheetId="7" hidden="1">0</definedName>
    <definedName name="solver_eng" localSheetId="6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0" l="1"/>
  <c r="L8" i="10" s="1"/>
  <c r="H8" i="10"/>
  <c r="F8" i="10"/>
  <c r="K29" i="10"/>
  <c r="K31" i="10" s="1"/>
  <c r="K16" i="10"/>
  <c r="K18" i="10" s="1"/>
  <c r="I11" i="10"/>
  <c r="K41" i="10" s="1"/>
  <c r="M20" i="1"/>
  <c r="E17" i="6" s="1" a="1"/>
  <c r="E17" i="6" s="1"/>
  <c r="G17" i="6" s="1"/>
  <c r="M18" i="1"/>
  <c r="E15" i="2" s="1"/>
  <c r="A2" i="10"/>
  <c r="N19" i="11"/>
  <c r="N18" i="11"/>
  <c r="M18" i="11"/>
  <c r="K18" i="11"/>
  <c r="O17" i="11"/>
  <c r="O16" i="11"/>
  <c r="O15" i="11"/>
  <c r="O14" i="11"/>
  <c r="O13" i="11"/>
  <c r="O12" i="11"/>
  <c r="O11" i="11"/>
  <c r="O10" i="11"/>
  <c r="O9" i="11"/>
  <c r="O8" i="11"/>
  <c r="O7" i="11"/>
  <c r="N17" i="11"/>
  <c r="N16" i="11"/>
  <c r="N15" i="11"/>
  <c r="N14" i="11"/>
  <c r="N13" i="11"/>
  <c r="N12" i="11"/>
  <c r="N11" i="11"/>
  <c r="N10" i="11"/>
  <c r="N9" i="11"/>
  <c r="N8" i="11"/>
  <c r="N7" i="11"/>
  <c r="K17" i="11"/>
  <c r="K16" i="11"/>
  <c r="K15" i="11"/>
  <c r="K14" i="11"/>
  <c r="K13" i="11"/>
  <c r="K12" i="11"/>
  <c r="K11" i="11"/>
  <c r="K10" i="11"/>
  <c r="K9" i="11"/>
  <c r="K8" i="11"/>
  <c r="K7" i="11"/>
  <c r="F26" i="11"/>
  <c r="E26" i="11"/>
  <c r="C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F27" i="11" s="1"/>
  <c r="G12" i="11"/>
  <c r="G11" i="11"/>
  <c r="G10" i="11"/>
  <c r="G9" i="11"/>
  <c r="G8" i="11"/>
  <c r="G7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A2" i="11"/>
  <c r="I28" i="10"/>
  <c r="H28" i="10"/>
  <c r="I27" i="10"/>
  <c r="H27" i="10"/>
  <c r="I26" i="10"/>
  <c r="H26" i="10"/>
  <c r="I25" i="10"/>
  <c r="H25" i="10"/>
  <c r="H24" i="10"/>
  <c r="I23" i="10"/>
  <c r="H23" i="10"/>
  <c r="I22" i="10"/>
  <c r="H22" i="10"/>
  <c r="I15" i="10"/>
  <c r="K45" i="10" s="1"/>
  <c r="F15" i="10"/>
  <c r="H15" i="10" s="1"/>
  <c r="I14" i="10"/>
  <c r="K44" i="10" s="1"/>
  <c r="F14" i="10"/>
  <c r="H14" i="10" s="1"/>
  <c r="I13" i="10"/>
  <c r="K43" i="10" s="1"/>
  <c r="F13" i="10"/>
  <c r="H13" i="10" s="1"/>
  <c r="I12" i="10"/>
  <c r="K42" i="10" s="1"/>
  <c r="F12" i="10"/>
  <c r="H12" i="10" s="1"/>
  <c r="F11" i="10"/>
  <c r="H11" i="10" s="1"/>
  <c r="I10" i="10"/>
  <c r="K40" i="10" s="1"/>
  <c r="F10" i="10"/>
  <c r="H10" i="10" s="1"/>
  <c r="F9" i="10"/>
  <c r="H9" i="10" s="1"/>
  <c r="D35" i="9"/>
  <c r="C35" i="9"/>
  <c r="B34" i="9"/>
  <c r="D34" i="9" s="1"/>
  <c r="A34" i="9"/>
  <c r="D33" i="9"/>
  <c r="B33" i="9"/>
  <c r="A33" i="9"/>
  <c r="B32" i="9"/>
  <c r="D32" i="9" s="1"/>
  <c r="A32" i="9"/>
  <c r="D31" i="9"/>
  <c r="B31" i="9"/>
  <c r="A31" i="9"/>
  <c r="B30" i="9"/>
  <c r="D30" i="9" s="1"/>
  <c r="A30" i="9"/>
  <c r="B29" i="9"/>
  <c r="D29" i="9" s="1"/>
  <c r="A29" i="9"/>
  <c r="B28" i="9"/>
  <c r="D28" i="9" s="1"/>
  <c r="A28" i="9"/>
  <c r="D27" i="9"/>
  <c r="B27" i="9"/>
  <c r="A27" i="9"/>
  <c r="D26" i="9"/>
  <c r="B26" i="9"/>
  <c r="A26" i="9"/>
  <c r="D25" i="9"/>
  <c r="B25" i="9"/>
  <c r="A25" i="9"/>
  <c r="B24" i="9"/>
  <c r="D24" i="9" s="1"/>
  <c r="A24" i="9"/>
  <c r="D23" i="9"/>
  <c r="B23" i="9"/>
  <c r="A23" i="9"/>
  <c r="B22" i="9"/>
  <c r="D22" i="9" s="1"/>
  <c r="A22" i="9"/>
  <c r="B21" i="9"/>
  <c r="D21" i="9" s="1"/>
  <c r="A21" i="9"/>
  <c r="B20" i="9"/>
  <c r="D20" i="9" s="1"/>
  <c r="A20" i="9"/>
  <c r="D19" i="9"/>
  <c r="B19" i="9"/>
  <c r="A19" i="9"/>
  <c r="D18" i="9"/>
  <c r="B18" i="9"/>
  <c r="A18" i="9"/>
  <c r="D17" i="9"/>
  <c r="B17" i="9"/>
  <c r="A17" i="9"/>
  <c r="B16" i="9"/>
  <c r="D16" i="9" s="1"/>
  <c r="A16" i="9"/>
  <c r="D15" i="9"/>
  <c r="B15" i="9"/>
  <c r="A15" i="9"/>
  <c r="B14" i="9"/>
  <c r="D14" i="9" s="1"/>
  <c r="A14" i="9"/>
  <c r="B13" i="9"/>
  <c r="D13" i="9" s="1"/>
  <c r="A13" i="9"/>
  <c r="B12" i="9"/>
  <c r="D12" i="9" s="1"/>
  <c r="A12" i="9"/>
  <c r="D11" i="9"/>
  <c r="B11" i="9"/>
  <c r="A11" i="9"/>
  <c r="D10" i="9"/>
  <c r="B10" i="9"/>
  <c r="A10" i="9"/>
  <c r="D9" i="9"/>
  <c r="B9" i="9"/>
  <c r="A9" i="9"/>
  <c r="D8" i="9"/>
  <c r="B8" i="9"/>
  <c r="A8" i="9"/>
  <c r="H7" i="9"/>
  <c r="G7" i="9"/>
  <c r="A5" i="9"/>
  <c r="A2" i="9"/>
  <c r="H17" i="8"/>
  <c r="G17" i="8"/>
  <c r="E17" i="8"/>
  <c r="F16" i="8"/>
  <c r="F15" i="8"/>
  <c r="F14" i="8"/>
  <c r="F13" i="8"/>
  <c r="F12" i="8"/>
  <c r="F11" i="8"/>
  <c r="F10" i="8"/>
  <c r="F9" i="8"/>
  <c r="F8" i="8"/>
  <c r="F7" i="8"/>
  <c r="F6" i="8"/>
  <c r="F5" i="8"/>
  <c r="A2" i="8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F5" i="7"/>
  <c r="E5" i="7"/>
  <c r="D5" i="7"/>
  <c r="A2" i="7"/>
  <c r="A2" i="6"/>
  <c r="O8" i="6"/>
  <c r="O7" i="6"/>
  <c r="N7" i="6"/>
  <c r="P7" i="6" s="1"/>
  <c r="O6" i="6"/>
  <c r="O5" i="6"/>
  <c r="H24" i="6"/>
  <c r="G23" i="6"/>
  <c r="I23" i="6" s="1"/>
  <c r="J23" i="6" s="1"/>
  <c r="G22" i="6"/>
  <c r="I22" i="6" s="1"/>
  <c r="J22" i="6" s="1"/>
  <c r="G21" i="6"/>
  <c r="I21" i="6" s="1"/>
  <c r="J21" i="6" s="1"/>
  <c r="I20" i="6"/>
  <c r="J20" i="6" s="1"/>
  <c r="G20" i="6"/>
  <c r="G19" i="6"/>
  <c r="I19" i="6" s="1"/>
  <c r="J19" i="6" s="1"/>
  <c r="I16" i="6"/>
  <c r="J16" i="6" s="1"/>
  <c r="G16" i="6"/>
  <c r="G15" i="6"/>
  <c r="I15" i="6" s="1"/>
  <c r="J15" i="6" s="1"/>
  <c r="G14" i="6"/>
  <c r="I14" i="6" s="1"/>
  <c r="J14" i="6" s="1"/>
  <c r="G13" i="6"/>
  <c r="I13" i="6" s="1"/>
  <c r="J13" i="6" s="1"/>
  <c r="I12" i="6"/>
  <c r="J12" i="6" s="1"/>
  <c r="G12" i="6"/>
  <c r="G11" i="6"/>
  <c r="I11" i="6" s="1"/>
  <c r="J11" i="6" s="1"/>
  <c r="G10" i="6"/>
  <c r="I10" i="6" s="1"/>
  <c r="J10" i="6" s="1"/>
  <c r="G9" i="6"/>
  <c r="I9" i="6" s="1"/>
  <c r="J9" i="6" s="1"/>
  <c r="I8" i="6"/>
  <c r="J8" i="6" s="1"/>
  <c r="G8" i="6"/>
  <c r="G7" i="6"/>
  <c r="I7" i="6" s="1"/>
  <c r="J7" i="6" s="1"/>
  <c r="J5" i="6"/>
  <c r="I5" i="6"/>
  <c r="G5" i="6"/>
  <c r="F23" i="6" a="1"/>
  <c r="F23" i="6" s="1"/>
  <c r="E23" i="6" a="1"/>
  <c r="E23" i="6" s="1"/>
  <c r="F22" i="6" a="1"/>
  <c r="F22" i="6" s="1"/>
  <c r="E22" i="6" a="1"/>
  <c r="E22" i="6" s="1"/>
  <c r="F21" i="6" a="1"/>
  <c r="F21" i="6" s="1"/>
  <c r="E21" i="6" a="1"/>
  <c r="E21" i="6" s="1"/>
  <c r="F20" i="6" a="1"/>
  <c r="F20" i="6" s="1"/>
  <c r="E20" i="6" a="1"/>
  <c r="E20" i="6" s="1"/>
  <c r="F19" i="6" a="1"/>
  <c r="F19" i="6" s="1"/>
  <c r="E19" i="6" a="1"/>
  <c r="E19" i="6" s="1"/>
  <c r="F18" i="6"/>
  <c r="F17" i="6" a="1"/>
  <c r="F17" i="6" s="1"/>
  <c r="F16" i="6" a="1"/>
  <c r="F16" i="6" s="1"/>
  <c r="E16" i="6" a="1"/>
  <c r="E16" i="6" s="1"/>
  <c r="F15" i="6" a="1"/>
  <c r="F15" i="6"/>
  <c r="E15" i="6" a="1"/>
  <c r="E15" i="6" s="1"/>
  <c r="F14" i="6"/>
  <c r="E14" i="6"/>
  <c r="F13" i="6"/>
  <c r="E13" i="6"/>
  <c r="F12" i="6" a="1"/>
  <c r="F12" i="6" s="1"/>
  <c r="E12" i="6" a="1"/>
  <c r="E12" i="6" s="1"/>
  <c r="F11" i="6" a="1"/>
  <c r="F11" i="6" s="1"/>
  <c r="E11" i="6" a="1"/>
  <c r="E11" i="6" s="1"/>
  <c r="F10" i="6" a="1"/>
  <c r="F10" i="6" s="1"/>
  <c r="F9" i="6" a="1"/>
  <c r="F9" i="6" s="1"/>
  <c r="F8" i="6" a="1"/>
  <c r="F8" i="6" s="1"/>
  <c r="E8" i="6" a="1"/>
  <c r="E8" i="6" s="1"/>
  <c r="F7" i="6" a="1"/>
  <c r="F7" i="6" s="1"/>
  <c r="E7" i="6" a="1"/>
  <c r="E7" i="6" s="1"/>
  <c r="F6" i="6" a="1"/>
  <c r="F6" i="6" s="1"/>
  <c r="E6" i="6" a="1"/>
  <c r="E6" i="6" s="1"/>
  <c r="E10" i="6" a="1"/>
  <c r="E10" i="6" s="1"/>
  <c r="E9" i="6" a="1"/>
  <c r="E9" i="6" s="1"/>
  <c r="F5" i="6" a="1"/>
  <c r="F5" i="6" s="1"/>
  <c r="E5" i="6" a="1"/>
  <c r="E5" i="6" s="1"/>
  <c r="E24" i="5"/>
  <c r="C24" i="5"/>
  <c r="B24" i="5"/>
  <c r="D24" i="5" s="1"/>
  <c r="A24" i="5"/>
  <c r="C23" i="5"/>
  <c r="B23" i="5"/>
  <c r="E23" i="5" s="1"/>
  <c r="A23" i="5"/>
  <c r="E22" i="5"/>
  <c r="C22" i="5"/>
  <c r="D22" i="5" s="1"/>
  <c r="B22" i="5"/>
  <c r="A22" i="5"/>
  <c r="D21" i="5"/>
  <c r="C21" i="5"/>
  <c r="B21" i="5"/>
  <c r="E21" i="5" s="1"/>
  <c r="A21" i="5"/>
  <c r="C20" i="5"/>
  <c r="B20" i="5"/>
  <c r="E20" i="5" s="1"/>
  <c r="A20" i="5"/>
  <c r="C19" i="5"/>
  <c r="B19" i="5"/>
  <c r="E19" i="5" s="1"/>
  <c r="A19" i="5"/>
  <c r="C18" i="5"/>
  <c r="D18" i="5" s="1"/>
  <c r="B18" i="5"/>
  <c r="A18" i="5"/>
  <c r="C17" i="5"/>
  <c r="A17" i="5"/>
  <c r="E16" i="5"/>
  <c r="C16" i="5"/>
  <c r="B16" i="5"/>
  <c r="D16" i="5" s="1"/>
  <c r="A16" i="5"/>
  <c r="C15" i="5"/>
  <c r="B15" i="5"/>
  <c r="E15" i="5" s="1"/>
  <c r="A15" i="5"/>
  <c r="E14" i="5"/>
  <c r="C14" i="5"/>
  <c r="D14" i="5" s="1"/>
  <c r="B14" i="5"/>
  <c r="A14" i="5"/>
  <c r="C13" i="5"/>
  <c r="C25" i="5" s="1"/>
  <c r="B13" i="5"/>
  <c r="A13" i="5"/>
  <c r="C12" i="5"/>
  <c r="B12" i="5"/>
  <c r="E12" i="5" s="1"/>
  <c r="A12" i="5"/>
  <c r="C11" i="5"/>
  <c r="B11" i="5"/>
  <c r="E11" i="5" s="1"/>
  <c r="A11" i="5"/>
  <c r="C10" i="5"/>
  <c r="E10" i="5" s="1"/>
  <c r="B10" i="5"/>
  <c r="A10" i="5"/>
  <c r="C9" i="5"/>
  <c r="B9" i="5"/>
  <c r="E9" i="5" s="1"/>
  <c r="A9" i="5"/>
  <c r="C8" i="5"/>
  <c r="B8" i="5"/>
  <c r="D8" i="5" s="1"/>
  <c r="A8" i="5"/>
  <c r="C7" i="5"/>
  <c r="B7" i="5"/>
  <c r="E7" i="5" s="1"/>
  <c r="A7" i="5"/>
  <c r="C6" i="5"/>
  <c r="B6" i="5"/>
  <c r="E6" i="5" s="1"/>
  <c r="A6" i="5"/>
  <c r="E5" i="5"/>
  <c r="D5" i="5"/>
  <c r="C5" i="5"/>
  <c r="B5" i="5"/>
  <c r="A5" i="5"/>
  <c r="F26" i="4"/>
  <c r="E26" i="4"/>
  <c r="F25" i="4"/>
  <c r="E25" i="4"/>
  <c r="F24" i="4"/>
  <c r="E24" i="4"/>
  <c r="F23" i="4"/>
  <c r="E23" i="4"/>
  <c r="F22" i="4"/>
  <c r="E22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3" i="4"/>
  <c r="E13" i="4"/>
  <c r="F12" i="4"/>
  <c r="E12" i="4"/>
  <c r="F11" i="4"/>
  <c r="E11" i="4"/>
  <c r="D26" i="4"/>
  <c r="C26" i="4"/>
  <c r="D25" i="4"/>
  <c r="C25" i="4"/>
  <c r="D24" i="4"/>
  <c r="C24" i="4"/>
  <c r="D23" i="4"/>
  <c r="D7" i="4" s="1"/>
  <c r="C23" i="4"/>
  <c r="D22" i="4"/>
  <c r="C22" i="4"/>
  <c r="D21" i="4"/>
  <c r="C21" i="4"/>
  <c r="F21" i="4" s="1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E14" i="4" s="1"/>
  <c r="D13" i="4"/>
  <c r="C13" i="4"/>
  <c r="D12" i="4"/>
  <c r="C12" i="4"/>
  <c r="D11" i="4"/>
  <c r="C11" i="4"/>
  <c r="F21" i="2"/>
  <c r="F20" i="2"/>
  <c r="F19" i="2"/>
  <c r="F18" i="2"/>
  <c r="F17" i="2"/>
  <c r="F16" i="2"/>
  <c r="F14" i="2"/>
  <c r="F13" i="2"/>
  <c r="F12" i="2"/>
  <c r="F11" i="2"/>
  <c r="F10" i="2"/>
  <c r="F9" i="2"/>
  <c r="F7" i="2"/>
  <c r="F6" i="2"/>
  <c r="F5" i="2"/>
  <c r="E21" i="2"/>
  <c r="E20" i="2"/>
  <c r="E19" i="2"/>
  <c r="E18" i="2"/>
  <c r="E17" i="2"/>
  <c r="E16" i="2"/>
  <c r="E14" i="2"/>
  <c r="E13" i="2"/>
  <c r="E12" i="2"/>
  <c r="E11" i="2"/>
  <c r="E10" i="2"/>
  <c r="E9" i="2"/>
  <c r="E7" i="2"/>
  <c r="E6" i="2"/>
  <c r="E5" i="2"/>
  <c r="B3" i="2"/>
  <c r="M6" i="1"/>
  <c r="M7" i="1"/>
  <c r="M8" i="1"/>
  <c r="M9" i="1"/>
  <c r="M10" i="1"/>
  <c r="M11" i="1"/>
  <c r="M12" i="1"/>
  <c r="M13" i="1"/>
  <c r="M14" i="1"/>
  <c r="M15" i="1"/>
  <c r="M16" i="1"/>
  <c r="M17" i="1"/>
  <c r="M1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D30" i="3"/>
  <c r="K33" i="10" l="1"/>
  <c r="J27" i="10"/>
  <c r="L27" i="10" s="1"/>
  <c r="H16" i="10"/>
  <c r="H18" i="10" s="1"/>
  <c r="J12" i="10" s="1"/>
  <c r="H29" i="10"/>
  <c r="H31" i="10" s="1"/>
  <c r="J26" i="10" s="1"/>
  <c r="L26" i="10" s="1"/>
  <c r="D19" i="5"/>
  <c r="F15" i="2"/>
  <c r="C23" i="7" s="1"/>
  <c r="B23" i="7"/>
  <c r="I17" i="6"/>
  <c r="J17" i="6" s="1"/>
  <c r="N6" i="6"/>
  <c r="P6" i="6" s="1"/>
  <c r="E24" i="6"/>
  <c r="B17" i="5"/>
  <c r="E17" i="5" s="1"/>
  <c r="E18" i="6"/>
  <c r="G18" i="6" s="1"/>
  <c r="I18" i="6" s="1"/>
  <c r="J18" i="6" s="1"/>
  <c r="D11" i="5"/>
  <c r="B5" i="9"/>
  <c r="E8" i="5"/>
  <c r="D6" i="5"/>
  <c r="F14" i="4"/>
  <c r="G6" i="6"/>
  <c r="G24" i="6" s="1"/>
  <c r="I6" i="6"/>
  <c r="N5" i="6"/>
  <c r="D13" i="5"/>
  <c r="F24" i="6"/>
  <c r="E13" i="5"/>
  <c r="D10" i="5"/>
  <c r="D7" i="5"/>
  <c r="D15" i="5"/>
  <c r="E18" i="5"/>
  <c r="D23" i="5"/>
  <c r="D12" i="5"/>
  <c r="D20" i="5"/>
  <c r="D9" i="5"/>
  <c r="C7" i="4"/>
  <c r="E7" i="4"/>
  <c r="F7" i="4"/>
  <c r="D6" i="4"/>
  <c r="C6" i="4"/>
  <c r="D5" i="4"/>
  <c r="D8" i="4"/>
  <c r="C8" i="4"/>
  <c r="C5" i="4"/>
  <c r="R46" i="1"/>
  <c r="Q46" i="1"/>
  <c r="P46" i="1"/>
  <c r="O46" i="1"/>
  <c r="Q4" i="1" s="1"/>
  <c r="N46" i="1"/>
  <c r="M46" i="1"/>
  <c r="L46" i="1"/>
  <c r="K46" i="1"/>
  <c r="J46" i="1"/>
  <c r="I46" i="1"/>
  <c r="H46" i="1"/>
  <c r="G46" i="1"/>
  <c r="F46" i="1"/>
  <c r="E8" i="2" s="1"/>
  <c r="E46" i="1"/>
  <c r="D46" i="1"/>
  <c r="C46" i="1"/>
  <c r="J14" i="10" l="1"/>
  <c r="J11" i="10"/>
  <c r="L41" i="10" s="1"/>
  <c r="J9" i="10"/>
  <c r="L9" i="10" s="1"/>
  <c r="J13" i="10"/>
  <c r="J15" i="10"/>
  <c r="L15" i="10" s="1"/>
  <c r="L12" i="10"/>
  <c r="L42" i="10"/>
  <c r="H33" i="10"/>
  <c r="H34" i="10" s="1"/>
  <c r="J10" i="10"/>
  <c r="J24" i="10"/>
  <c r="L24" i="10" s="1"/>
  <c r="J25" i="10"/>
  <c r="L25" i="10" s="1"/>
  <c r="J23" i="10"/>
  <c r="L23" i="10" s="1"/>
  <c r="J28" i="10"/>
  <c r="L28" i="10" s="1"/>
  <c r="J22" i="10"/>
  <c r="L14" i="10"/>
  <c r="L44" i="10"/>
  <c r="L13" i="10"/>
  <c r="L43" i="10"/>
  <c r="L45" i="10"/>
  <c r="D17" i="5"/>
  <c r="B25" i="5"/>
  <c r="D25" i="5" s="1"/>
  <c r="A2" i="5"/>
  <c r="F8" i="2"/>
  <c r="C16" i="7" s="1"/>
  <c r="B16" i="7"/>
  <c r="A2" i="4"/>
  <c r="N8" i="6"/>
  <c r="P5" i="6"/>
  <c r="P8" i="6" s="1"/>
  <c r="J6" i="6"/>
  <c r="I24" i="6"/>
  <c r="F6" i="4"/>
  <c r="E6" i="4"/>
  <c r="F8" i="4"/>
  <c r="E8" i="4"/>
  <c r="F5" i="4"/>
  <c r="E5" i="4"/>
  <c r="L4" i="1"/>
  <c r="G4" i="1"/>
  <c r="L39" i="10" l="1"/>
  <c r="L11" i="10"/>
  <c r="J16" i="10"/>
  <c r="L16" i="10" s="1"/>
  <c r="L18" i="10" s="1"/>
  <c r="L10" i="10"/>
  <c r="L40" i="10"/>
  <c r="J29" i="10"/>
  <c r="L22" i="10"/>
  <c r="E25" i="5"/>
  <c r="C5" i="7"/>
  <c r="G6" i="9"/>
  <c r="H6" i="9" s="1"/>
  <c r="M7" i="8"/>
  <c r="M6" i="8"/>
  <c r="M5" i="8"/>
  <c r="G5" i="9"/>
  <c r="H5" i="9" s="1"/>
  <c r="A5" i="7"/>
  <c r="C5" i="9" s="1"/>
  <c r="D5" i="9" s="1"/>
  <c r="B5" i="7"/>
  <c r="J18" i="10" l="1"/>
  <c r="J31" i="10"/>
  <c r="J33" i="10" s="1"/>
  <c r="L33" i="10" s="1"/>
  <c r="L29" i="10"/>
  <c r="L31" i="10" s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622C8D0235E468994CD11F4B7B83F6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44560" y="0"/>
          <a:ext cx="5467350" cy="215265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<sst xmlns="http://schemas.openxmlformats.org/spreadsheetml/2006/main" count="466" uniqueCount="236">
  <si>
    <t>GELARAN MAJU SDN BHD</t>
  </si>
  <si>
    <t>PROJECT: THE CAPITOL / MSK</t>
  </si>
  <si>
    <t>LEVEL</t>
  </si>
  <si>
    <t>COLD WATER</t>
  </si>
  <si>
    <t>SANITARY</t>
  </si>
  <si>
    <t>IRRIGATION</t>
  </si>
  <si>
    <t>PIPE SLEEVE</t>
  </si>
  <si>
    <t>PUMP</t>
  </si>
  <si>
    <t>PUMP CONTROL PANEL</t>
  </si>
  <si>
    <t>TRANSFER PUMP PIPES</t>
  </si>
  <si>
    <t>L31 &amp; 31M ROOF PIPING</t>
  </si>
  <si>
    <t>CW TENANT</t>
  </si>
  <si>
    <t>BACKSHAFT CW &amp; FW TOILETS</t>
  </si>
  <si>
    <t>HOSEREEL FLOORTRAP &amp; STACK</t>
  </si>
  <si>
    <t>SANITARY TENANT</t>
  </si>
  <si>
    <t>TOILET PIPE DISTRIBUTION &amp; HACKING</t>
  </si>
  <si>
    <t>SANITARY TOILETS</t>
  </si>
  <si>
    <t>SANITARY WARES INSTALLATION</t>
  </si>
  <si>
    <t>IRRIGATION OUTLET</t>
  </si>
  <si>
    <t>IRRIGATION INLET</t>
  </si>
  <si>
    <t>IRRIGATION WIRING</t>
  </si>
  <si>
    <t>IRRIGATION CONTROL PANEL</t>
  </si>
  <si>
    <t>TOWER A</t>
  </si>
  <si>
    <t>N/A</t>
  </si>
  <si>
    <t>31M</t>
  </si>
  <si>
    <t>TOWER B</t>
  </si>
  <si>
    <t xml:space="preserve">TRANSFER PUMP PIPES </t>
  </si>
  <si>
    <t>SANITARY TOILETS TOWER A</t>
  </si>
  <si>
    <t>SANITARY TOILETS TOWER B</t>
  </si>
  <si>
    <t>suhairi</t>
  </si>
  <si>
    <t>subs-aryan</t>
  </si>
  <si>
    <t>jillur/sarip</t>
  </si>
  <si>
    <t>bilal</t>
  </si>
  <si>
    <t>subs-aipoon</t>
  </si>
  <si>
    <t>jiarul</t>
  </si>
  <si>
    <t>juwel</t>
  </si>
  <si>
    <t>emon</t>
  </si>
  <si>
    <t>n/a</t>
  </si>
  <si>
    <t>asgar</t>
  </si>
  <si>
    <t>Report Date: 29 AUGUST 2026</t>
  </si>
  <si>
    <t>TEAM</t>
  </si>
  <si>
    <t>STATUS</t>
  </si>
  <si>
    <t>SCOPE</t>
  </si>
  <si>
    <t>PROGRESS %</t>
  </si>
  <si>
    <t>SUPAHAM</t>
  </si>
  <si>
    <t>LEADER</t>
  </si>
  <si>
    <t>ASSISTANT</t>
  </si>
  <si>
    <t>team 1</t>
  </si>
  <si>
    <t>SOLIHIN</t>
  </si>
  <si>
    <t>ASHRAFUL</t>
  </si>
  <si>
    <t>JIARUL</t>
  </si>
  <si>
    <t>YASIN</t>
  </si>
  <si>
    <t>team 2</t>
  </si>
  <si>
    <t>ASGAR</t>
  </si>
  <si>
    <t>RANA</t>
  </si>
  <si>
    <t>team 3</t>
  </si>
  <si>
    <t>SUHAIRI</t>
  </si>
  <si>
    <t>SUPENDI</t>
  </si>
  <si>
    <t>team 4</t>
  </si>
  <si>
    <t>BILAL</t>
  </si>
  <si>
    <t>FARHAD</t>
  </si>
  <si>
    <t>SOFIKUL</t>
  </si>
  <si>
    <t>SYAHIB</t>
  </si>
  <si>
    <t>AMIRUL</t>
  </si>
  <si>
    <t>NURUL</t>
  </si>
  <si>
    <t>NAZMUL</t>
  </si>
  <si>
    <t>team 5</t>
  </si>
  <si>
    <t>JUWEL</t>
  </si>
  <si>
    <t>BADOL</t>
  </si>
  <si>
    <t>team 6</t>
  </si>
  <si>
    <t>JILLUR</t>
  </si>
  <si>
    <t>ISLAM</t>
  </si>
  <si>
    <t>team 7</t>
  </si>
  <si>
    <t>SARIP</t>
  </si>
  <si>
    <t>team 8</t>
  </si>
  <si>
    <t>EMON</t>
  </si>
  <si>
    <t>MAHMUD</t>
  </si>
  <si>
    <t>team 9</t>
  </si>
  <si>
    <t>IBNU</t>
  </si>
  <si>
    <t>DAMIL</t>
  </si>
  <si>
    <t>team 10</t>
  </si>
  <si>
    <t>KAMAL</t>
  </si>
  <si>
    <t>GM</t>
  </si>
  <si>
    <t>SUBS</t>
  </si>
  <si>
    <t xml:space="preserve">AIPOON </t>
  </si>
  <si>
    <t>WELDER</t>
  </si>
  <si>
    <t>TOTAL</t>
  </si>
  <si>
    <t>PACKAGE</t>
  </si>
  <si>
    <t>Tower A</t>
  </si>
  <si>
    <t>Tower B</t>
  </si>
  <si>
    <t>Gap (A−B)</t>
  </si>
  <si>
    <t>Leader</t>
  </si>
  <si>
    <t>OVERALL</t>
  </si>
  <si>
    <t>Item</t>
  </si>
  <si>
    <t>Cold Water</t>
  </si>
  <si>
    <t>Pipe Sleeve</t>
  </si>
  <si>
    <t>Pump</t>
  </si>
  <si>
    <t>Pump Control Panel</t>
  </si>
  <si>
    <t>Transfer Pump Pipes</t>
  </si>
  <si>
    <t>L31 &amp; 31M Roof Piping</t>
  </si>
  <si>
    <t>CW Tenant</t>
  </si>
  <si>
    <t>Backshaft CW &amp; FW Toilets</t>
  </si>
  <si>
    <t>Sanitary</t>
  </si>
  <si>
    <t>Hosereel Floortrap &amp; Stack</t>
  </si>
  <si>
    <t>Sanitary Tenant</t>
  </si>
  <si>
    <t>Toilet Pipe Distribution &amp; Hacking</t>
  </si>
  <si>
    <t>Sanitary Toilets</t>
  </si>
  <si>
    <t>Sanitary Wares Installation</t>
  </si>
  <si>
    <t>Irrigation</t>
  </si>
  <si>
    <t>Irrigation Outlet</t>
  </si>
  <si>
    <t>Irrigation Inlet</t>
  </si>
  <si>
    <t>Irrigation Wiring</t>
  </si>
  <si>
    <t>Irrigation Control Panel</t>
  </si>
  <si>
    <t>Level</t>
  </si>
  <si>
    <t>Tower A vs Tower B  |  % complete</t>
  </si>
  <si>
    <t>Floor-by-floor  |  % complete</t>
  </si>
  <si>
    <t>Package</t>
  </si>
  <si>
    <t>Material</t>
  </si>
  <si>
    <t>Unit</t>
  </si>
  <si>
    <t>Qty / floor</t>
  </si>
  <si>
    <t>Remaining A</t>
  </si>
  <si>
    <t>Remaining B</t>
  </si>
  <si>
    <t>Required</t>
  </si>
  <si>
    <t>Ordered</t>
  </si>
  <si>
    <t>Balance</t>
  </si>
  <si>
    <t>Status</t>
  </si>
  <si>
    <t>Remarks</t>
  </si>
  <si>
    <t>Pipe sleeve</t>
  </si>
  <si>
    <t>nos</t>
  </si>
  <si>
    <t>Transfer pump pipes</t>
  </si>
  <si>
    <t>floor</t>
  </si>
  <si>
    <t>CW tenant pipework</t>
  </si>
  <si>
    <t>Backshaft CW &amp; FW pipe</t>
  </si>
  <si>
    <t>L31 &amp; 31M roof piping</t>
  </si>
  <si>
    <t>lot</t>
  </si>
  <si>
    <t>set</t>
  </si>
  <si>
    <t>Pump control panel</t>
  </si>
  <si>
    <t>Hosereel set</t>
  </si>
  <si>
    <t>Floor trap</t>
  </si>
  <si>
    <t>Sanitary stack pipe</t>
  </si>
  <si>
    <t>Toilet distribution pipe</t>
  </si>
  <si>
    <t>Sanitary tenant</t>
  </si>
  <si>
    <t>WC pan</t>
  </si>
  <si>
    <t>Wash basin</t>
  </si>
  <si>
    <t>Sanitary wares</t>
  </si>
  <si>
    <t>Irrigation outlet</t>
  </si>
  <si>
    <t>Irrigation inlet</t>
  </si>
  <si>
    <t>Irrigation cable</t>
  </si>
  <si>
    <t>Irrigation control panel</t>
  </si>
  <si>
    <t>Material Order | qty</t>
  </si>
  <si>
    <t>Site report | % complete</t>
  </si>
  <si>
    <t>Overall</t>
  </si>
  <si>
    <t>Men</t>
  </si>
  <si>
    <t>Day RM</t>
  </si>
  <si>
    <t>Weather</t>
  </si>
  <si>
    <t>Fair</t>
  </si>
  <si>
    <t>Shift</t>
  </si>
  <si>
    <t>Day</t>
  </si>
  <si>
    <t>Today</t>
  </si>
  <si>
    <t>Blockers</t>
  </si>
  <si>
    <t>Tomorrow</t>
  </si>
  <si>
    <t>Progress</t>
  </si>
  <si>
    <t>Owner</t>
  </si>
  <si>
    <t>PO log | RM</t>
  </si>
  <si>
    <t>Date</t>
  </si>
  <si>
    <t>PO No</t>
  </si>
  <si>
    <t>Supplier</t>
  </si>
  <si>
    <t>Qty</t>
  </si>
  <si>
    <t>Amount RM</t>
  </si>
  <si>
    <t>ETA</t>
  </si>
  <si>
    <t>Still to order</t>
  </si>
  <si>
    <t>Lines</t>
  </si>
  <si>
    <t>To Order</t>
  </si>
  <si>
    <t>Partial</t>
  </si>
  <si>
    <t>Complete</t>
  </si>
  <si>
    <t>Manpower vs progress</t>
  </si>
  <si>
    <t>On site</t>
  </si>
  <si>
    <t>RM / 1%</t>
  </si>
  <si>
    <t>Name</t>
  </si>
  <si>
    <t>Rate RM</t>
  </si>
  <si>
    <t>Cost today</t>
  </si>
  <si>
    <t>Remaining</t>
  </si>
  <si>
    <t>Transfer pump + hosereel</t>
  </si>
  <si>
    <t>Toilet RM/point</t>
  </si>
  <si>
    <t>Tenant RM/point</t>
  </si>
  <si>
    <t>Basin</t>
  </si>
  <si>
    <t>Urinal</t>
  </si>
  <si>
    <t>Stack</t>
  </si>
  <si>
    <t>RM/toilet</t>
  </si>
  <si>
    <t>Toilets</t>
  </si>
  <si>
    <t>RM/level</t>
  </si>
  <si>
    <t>Subtotal</t>
  </si>
  <si>
    <t>Discount</t>
  </si>
  <si>
    <t>Toilet final</t>
  </si>
  <si>
    <t>Floor out</t>
  </si>
  <si>
    <t>Basin out</t>
  </si>
  <si>
    <t>Hosereel</t>
  </si>
  <si>
    <t>Tenant final</t>
  </si>
  <si>
    <t>GRAND TOTAL</t>
  </si>
  <si>
    <t>Per level</t>
  </si>
  <si>
    <t>RM / m</t>
  </si>
  <si>
    <t>Metres</t>
  </si>
  <si>
    <t>Labour</t>
  </si>
  <si>
    <t>Fittings</t>
  </si>
  <si>
    <t>Fit RM</t>
  </si>
  <si>
    <t>Line</t>
  </si>
  <si>
    <t>2 ELBOW</t>
  </si>
  <si>
    <t>1 ELBOW + 1 CHECK VALVE</t>
  </si>
  <si>
    <t>Certified DONE</t>
  </si>
  <si>
    <t>TOWER B (L21-31)</t>
  </si>
  <si>
    <t>ARIYAN | SS pipe | RM</t>
  </si>
  <si>
    <t>Fittings extra</t>
  </si>
  <si>
    <t>Claimed</t>
  </si>
  <si>
    <t>Paid</t>
  </si>
  <si>
    <t>Subcon</t>
  </si>
  <si>
    <t>AIPOON</t>
  </si>
  <si>
    <t>Project</t>
  </si>
  <si>
    <t>THE CAPITOL / MSK</t>
  </si>
  <si>
    <t>Claim No</t>
  </si>
  <si>
    <t>AC-001</t>
  </si>
  <si>
    <t>Tower</t>
  </si>
  <si>
    <t>Prepared</t>
  </si>
  <si>
    <t>Verified</t>
  </si>
  <si>
    <t>Toilet photo</t>
  </si>
  <si>
    <t>Tenant photo</t>
  </si>
  <si>
    <t>Verified by / date</t>
  </si>
  <si>
    <t>AIPOON CLAIM</t>
  </si>
  <si>
    <t>PHOTO LOG</t>
  </si>
  <si>
    <t>TOILET  L25-31</t>
  </si>
  <si>
    <t>TENANT  L25-31</t>
  </si>
  <si>
    <t>Paste photo</t>
  </si>
  <si>
    <t>Prepared / date</t>
  </si>
  <si>
    <t>Stamp</t>
  </si>
  <si>
    <t>A/B</t>
  </si>
  <si>
    <t>ALVIN</t>
  </si>
  <si>
    <t>KHAIRUL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</si>
</sst>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%"/>
    <numFmt numFmtId="165" formatCode="\+0.0%;\-0.0%;\–"/>
    <numFmt numFmtId="166" formatCode="#,##0.0"/>
    <numFmt numFmtId="167" formatCode="&quot;RM&quot;#,##0"/>
    <numFmt numFmtId="168" formatCode="dd\-mmm\-yyyy"/>
    <numFmt numFmtId="169" formatCode="&quot;RM&quot;#,##0;\(&quot;RM&quot;#,##0\)"/>
    <numFmt numFmtId="170" formatCode="0.0"/>
  </numFmts>
  <fonts count="4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8"/>
      <name val="Arial Narrow"/>
      <family val="2"/>
    </font>
    <font>
      <b/>
      <sz val="16"/>
      <name val="Arial Narrow"/>
      <family val="2"/>
    </font>
    <font>
      <sz val="11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20"/>
      <name val="Arial Narrow"/>
      <family val="2"/>
    </font>
    <font>
      <b/>
      <sz val="20"/>
      <color theme="1"/>
      <name val="Arial Narrow"/>
      <family val="2"/>
    </font>
    <font>
      <b/>
      <sz val="20"/>
      <color theme="0"/>
      <name val="Arial Narrow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 tint="0.24994659260841701"/>
      <name val="Arial Narrow"/>
      <family val="2"/>
    </font>
    <font>
      <b/>
      <sz val="28"/>
      <name val="Arial Narrow"/>
      <family val="2"/>
    </font>
    <font>
      <b/>
      <sz val="2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name val="Arial Narrow"/>
    </font>
    <font>
      <sz val="11"/>
      <color rgb="FF404040"/>
      <name val="Arial Narrow"/>
    </font>
    <font>
      <b/>
      <sz val="16"/>
      <color theme="1"/>
      <name val="Arial Narrow"/>
    </font>
    <font>
      <sz val="11"/>
      <color theme="1"/>
      <name val="Arial Narrow"/>
    </font>
    <font>
      <i/>
      <sz val="11"/>
      <color theme="1"/>
      <name val="Arial Narrow"/>
    </font>
    <font>
      <b/>
      <sz val="11"/>
      <color rgb="FFFFFFFF"/>
      <name val="Arial Narrow"/>
    </font>
    <font>
      <b/>
      <sz val="11"/>
      <color theme="1"/>
      <name val="Arial Narrow"/>
    </font>
    <font>
      <sz val="11"/>
      <color rgb="FF006600"/>
      <name val="Arial Narrow"/>
    </font>
    <font>
      <b/>
      <sz val="11"/>
      <color rgb="FF006600"/>
      <name val="Arial Narrow"/>
    </font>
    <font>
      <sz val="11"/>
      <color rgb="FF0000FF"/>
      <name val="Arial Narrow"/>
    </font>
    <font>
      <b/>
      <sz val="14"/>
      <color rgb="FF006600"/>
      <name val="Arial Narrow"/>
    </font>
    <font>
      <b/>
      <sz val="14"/>
      <color theme="1"/>
      <name val="Arial Narrow"/>
    </font>
    <font>
      <b/>
      <sz val="20"/>
      <name val="Arial Narrow"/>
    </font>
    <font>
      <b/>
      <sz val="11"/>
      <color rgb="FFFFFFFF"/>
      <name val="Aptos"/>
    </font>
    <font>
      <b/>
      <sz val="10"/>
      <color theme="1"/>
      <name val="Aptos"/>
    </font>
    <font>
      <sz val="10"/>
      <color theme="1"/>
      <name val="Aptos"/>
    </font>
    <font>
      <sz val="10"/>
      <color rgb="FF0000FF"/>
      <name val="Aptos"/>
    </font>
    <font>
      <b/>
      <sz val="10"/>
      <color rgb="FFFFFFFF"/>
      <name val="Aptos"/>
    </font>
    <font>
      <sz val="10"/>
      <color rgb="FF006600"/>
      <name val="Aptos"/>
    </font>
    <font>
      <b/>
      <sz val="16"/>
      <color rgb="FFFFFFFF"/>
      <name val="Aptos"/>
    </font>
    <font>
      <i/>
      <sz val="10"/>
      <color rgb="FF595959"/>
      <name val="Aptos"/>
    </font>
    <font>
      <b/>
      <sz val="10"/>
      <color rgb="FF0000FF"/>
      <name val="Aptos"/>
    </font>
    <font>
      <b/>
      <sz val="12"/>
      <color rgb="FFFFFFFF"/>
      <name val="Aptos"/>
    </font>
    <font>
      <b/>
      <sz val="14"/>
      <color theme="1"/>
      <name val="Aptos"/>
    </font>
    <font>
      <sz val="9"/>
      <color rgb="FF808080"/>
      <name val="Aptos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1A5276"/>
      </patternFill>
    </fill>
    <fill>
      <patternFill patternType="solid">
        <fgColor theme="4" tint="0.79998168889431442"/>
        <bgColor rgb="FF4F81BD"/>
      </patternFill>
    </fill>
    <fill>
      <patternFill patternType="solid">
        <fgColor rgb="FFF2F3F4"/>
        <bgColor rgb="FFF9F9F9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7D3C98"/>
      </patternFill>
    </fill>
    <fill>
      <patternFill patternType="solid">
        <fgColor theme="7" tint="0.59999389629810485"/>
        <bgColor rgb="FFF1948A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rgb="FF7D3C98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rgb="FF2F5496"/>
      </bottom>
      <diagonal/>
    </border>
    <border>
      <left/>
      <right/>
      <top/>
      <bottom style="double">
        <color rgb="FFFFFFFF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4" fontId="5" fillId="0" borderId="0" applyFill="0" applyBorder="0">
      <alignment horizontal="right" vertical="center"/>
    </xf>
  </cellStyleXfs>
  <cellXfs count="2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9" fontId="6" fillId="0" borderId="7" xfId="1" applyFont="1" applyFill="1" applyBorder="1" applyAlignment="1" applyProtection="1">
      <alignment horizontal="left" vertical="center"/>
    </xf>
    <xf numFmtId="9" fontId="6" fillId="0" borderId="15" xfId="1" applyFont="1" applyFill="1" applyBorder="1" applyAlignment="1" applyProtection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9" fontId="6" fillId="0" borderId="9" xfId="1" applyFont="1" applyFill="1" applyBorder="1" applyAlignment="1" applyProtection="1">
      <alignment horizontal="left" vertical="center"/>
    </xf>
    <xf numFmtId="9" fontId="6" fillId="0" borderId="16" xfId="1" applyFont="1" applyFill="1" applyBorder="1" applyAlignment="1" applyProtection="1">
      <alignment horizontal="left" vertical="center"/>
    </xf>
    <xf numFmtId="0" fontId="6" fillId="5" borderId="10" xfId="0" applyFont="1" applyFill="1" applyBorder="1" applyAlignment="1">
      <alignment horizontal="center" vertical="center" wrapText="1"/>
    </xf>
    <xf numFmtId="9" fontId="6" fillId="0" borderId="11" xfId="1" applyFont="1" applyFill="1" applyBorder="1" applyAlignment="1" applyProtection="1">
      <alignment horizontal="left" vertical="center"/>
    </xf>
    <xf numFmtId="0" fontId="7" fillId="0" borderId="0" xfId="0" applyFont="1">
      <alignment vertical="center"/>
    </xf>
    <xf numFmtId="9" fontId="7" fillId="0" borderId="0" xfId="1" applyFont="1">
      <alignment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2" fillId="2" borderId="0" xfId="0" applyFont="1" applyFill="1">
      <alignment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1" fillId="2" borderId="25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>
      <alignment vertical="center"/>
    </xf>
    <xf numFmtId="0" fontId="1" fillId="0" borderId="17" xfId="0" applyFont="1" applyBorder="1">
      <alignment vertical="center"/>
    </xf>
    <xf numFmtId="0" fontId="13" fillId="0" borderId="0" xfId="0" applyFont="1">
      <alignment vertical="center"/>
    </xf>
    <xf numFmtId="0" fontId="3" fillId="12" borderId="7" xfId="0" applyFont="1" applyFill="1" applyBorder="1" applyAlignment="1">
      <alignment horizontal="center" vertical="center" wrapText="1"/>
    </xf>
    <xf numFmtId="9" fontId="6" fillId="13" borderId="7" xfId="1" applyFont="1" applyFill="1" applyBorder="1" applyAlignment="1" applyProtection="1">
      <alignment horizontal="left" vertical="center"/>
    </xf>
    <xf numFmtId="9" fontId="6" fillId="13" borderId="9" xfId="1" applyFont="1" applyFill="1" applyBorder="1" applyAlignment="1" applyProtection="1">
      <alignment horizontal="left" vertical="center"/>
    </xf>
    <xf numFmtId="9" fontId="6" fillId="13" borderId="11" xfId="1" applyFont="1" applyFill="1" applyBorder="1" applyAlignment="1" applyProtection="1">
      <alignment horizontal="left" vertical="center"/>
    </xf>
    <xf numFmtId="9" fontId="7" fillId="13" borderId="0" xfId="1" applyFont="1" applyFill="1">
      <alignment vertical="center"/>
    </xf>
    <xf numFmtId="0" fontId="1" fillId="0" borderId="7" xfId="0" applyFont="1" applyBorder="1" applyAlignment="1"/>
    <xf numFmtId="0" fontId="0" fillId="0" borderId="7" xfId="0" applyBorder="1" applyAlignment="1"/>
    <xf numFmtId="0" fontId="0" fillId="0" borderId="7" xfId="0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2" borderId="7" xfId="0" applyFont="1" applyFill="1" applyBorder="1" applyAlignment="1">
      <alignment horizontal="left" vertical="center"/>
    </xf>
    <xf numFmtId="0" fontId="15" fillId="14" borderId="0" xfId="0" applyFont="1" applyFill="1">
      <alignment vertical="center"/>
    </xf>
    <xf numFmtId="9" fontId="16" fillId="14" borderId="5" xfId="1" applyFont="1" applyFill="1" applyBorder="1" applyAlignment="1">
      <alignment horizontal="left" vertical="center"/>
    </xf>
    <xf numFmtId="9" fontId="16" fillId="14" borderId="7" xfId="1" applyFont="1" applyFill="1" applyBorder="1" applyAlignment="1">
      <alignment horizontal="left" vertical="center"/>
    </xf>
    <xf numFmtId="9" fontId="16" fillId="14" borderId="9" xfId="1" applyFont="1" applyFill="1" applyBorder="1" applyAlignment="1">
      <alignment horizontal="left" vertical="center"/>
    </xf>
    <xf numFmtId="9" fontId="16" fillId="14" borderId="11" xfId="1" applyFont="1" applyFill="1" applyBorder="1" applyAlignment="1">
      <alignment horizontal="left" vertical="center"/>
    </xf>
    <xf numFmtId="0" fontId="16" fillId="14" borderId="14" xfId="0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15" borderId="0" xfId="0" applyFont="1" applyFill="1" applyAlignment="1">
      <alignment horizontal="center" vertical="center"/>
    </xf>
    <xf numFmtId="0" fontId="21" fillId="0" borderId="0" xfId="0" applyFont="1">
      <alignment vertical="center"/>
    </xf>
    <xf numFmtId="0" fontId="21" fillId="16" borderId="0" xfId="0" applyFont="1" applyFill="1" applyAlignment="1">
      <alignment horizontal="left" vertical="center"/>
    </xf>
    <xf numFmtId="164" fontId="21" fillId="16" borderId="0" xfId="0" applyNumberFormat="1" applyFont="1" applyFill="1" applyAlignment="1">
      <alignment horizontal="center" vertical="center"/>
    </xf>
    <xf numFmtId="165" fontId="21" fillId="16" borderId="0" xfId="0" applyNumberFormat="1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left" vertical="center"/>
    </xf>
    <xf numFmtId="164" fontId="21" fillId="17" borderId="0" xfId="0" applyNumberFormat="1" applyFont="1" applyFill="1" applyAlignment="1">
      <alignment horizontal="center" vertical="center"/>
    </xf>
    <xf numFmtId="165" fontId="21" fillId="17" borderId="0" xfId="0" applyNumberFormat="1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left" vertical="center"/>
    </xf>
    <xf numFmtId="164" fontId="21" fillId="18" borderId="0" xfId="0" applyNumberFormat="1" applyFont="1" applyFill="1" applyAlignment="1">
      <alignment horizontal="center" vertical="center"/>
    </xf>
    <xf numFmtId="165" fontId="21" fillId="18" borderId="0" xfId="0" applyNumberFormat="1" applyFont="1" applyFill="1" applyAlignment="1">
      <alignment horizontal="center" vertical="center"/>
    </xf>
    <xf numFmtId="0" fontId="21" fillId="18" borderId="0" xfId="0" applyFont="1" applyFill="1" applyAlignment="1">
      <alignment horizontal="center" vertical="center"/>
    </xf>
    <xf numFmtId="0" fontId="18" fillId="16" borderId="0" xfId="0" applyFont="1" applyFill="1">
      <alignment vertical="center"/>
    </xf>
    <xf numFmtId="164" fontId="22" fillId="0" borderId="0" xfId="0" applyNumberFormat="1" applyFont="1" applyAlignment="1">
      <alignment horizontal="center" vertical="center"/>
    </xf>
    <xf numFmtId="0" fontId="18" fillId="17" borderId="0" xfId="0" applyFont="1" applyFill="1">
      <alignment vertical="center"/>
    </xf>
    <xf numFmtId="0" fontId="18" fillId="18" borderId="0" xfId="0" applyFont="1" applyFill="1">
      <alignment vertical="center"/>
    </xf>
    <xf numFmtId="165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3" fillId="19" borderId="0" xfId="0" applyFont="1" applyFill="1" applyAlignment="1">
      <alignment horizontal="center" vertical="center"/>
    </xf>
    <xf numFmtId="0" fontId="20" fillId="15" borderId="30" xfId="0" applyFont="1" applyFill="1" applyBorder="1" applyAlignment="1">
      <alignment horizontal="center" vertical="center"/>
    </xf>
    <xf numFmtId="164" fontId="20" fillId="15" borderId="30" xfId="0" applyNumberFormat="1" applyFont="1" applyFill="1" applyBorder="1" applyAlignment="1">
      <alignment horizontal="center" vertical="center"/>
    </xf>
    <xf numFmtId="165" fontId="20" fillId="15" borderId="30" xfId="0" applyNumberFormat="1" applyFont="1" applyFill="1" applyBorder="1" applyAlignment="1">
      <alignment horizontal="center"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20" fillId="15" borderId="31" xfId="0" applyFont="1" applyFill="1" applyBorder="1" applyAlignment="1">
      <alignment horizontal="left" vertical="center"/>
    </xf>
    <xf numFmtId="0" fontId="0" fillId="15" borderId="31" xfId="0" applyFill="1" applyBorder="1">
      <alignment vertical="center"/>
    </xf>
    <xf numFmtId="164" fontId="20" fillId="15" borderId="31" xfId="0" applyNumberFormat="1" applyFont="1" applyFill="1" applyBorder="1" applyAlignment="1">
      <alignment horizontal="center" vertical="center"/>
    </xf>
    <xf numFmtId="165" fontId="20" fillId="15" borderId="31" xfId="0" applyNumberFormat="1" applyFont="1" applyFill="1" applyBorder="1" applyAlignment="1">
      <alignment horizontal="center" vertical="center"/>
    </xf>
    <xf numFmtId="0" fontId="20" fillId="15" borderId="31" xfId="0" applyFont="1" applyFill="1" applyBorder="1" applyAlignment="1">
      <alignment horizontal="center" vertical="center"/>
    </xf>
    <xf numFmtId="166" fontId="24" fillId="20" borderId="0" xfId="0" applyNumberFormat="1" applyFont="1" applyFill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24" fillId="20" borderId="0" xfId="0" applyFont="1" applyFill="1">
      <alignment vertical="center"/>
    </xf>
    <xf numFmtId="0" fontId="20" fillId="15" borderId="30" xfId="0" applyFont="1" applyFill="1" applyBorder="1" applyAlignment="1">
      <alignment horizontal="left" vertical="center"/>
    </xf>
    <xf numFmtId="0" fontId="20" fillId="15" borderId="30" xfId="0" applyFont="1" applyFill="1" applyBorder="1">
      <alignment vertical="center"/>
    </xf>
    <xf numFmtId="0" fontId="0" fillId="15" borderId="30" xfId="0" applyFill="1" applyBorder="1">
      <alignment vertical="center"/>
    </xf>
    <xf numFmtId="166" fontId="20" fillId="15" borderId="30" xfId="0" applyNumberFormat="1" applyFont="1" applyFill="1" applyBorder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64" fontId="25" fillId="16" borderId="0" xfId="0" applyNumberFormat="1" applyFont="1" applyFill="1" applyAlignment="1">
      <alignment horizontal="center" vertical="center"/>
    </xf>
    <xf numFmtId="164" fontId="25" fillId="17" borderId="0" xfId="0" applyNumberFormat="1" applyFont="1" applyFill="1" applyAlignment="1">
      <alignment horizontal="center" vertical="center"/>
    </xf>
    <xf numFmtId="164" fontId="25" fillId="18" borderId="0" xfId="0" applyNumberFormat="1" applyFont="1" applyFill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168" fontId="24" fillId="20" borderId="0" xfId="0" applyNumberFormat="1" applyFont="1" applyFill="1">
      <alignment vertical="center"/>
    </xf>
    <xf numFmtId="167" fontId="24" fillId="20" borderId="0" xfId="0" applyNumberFormat="1" applyFont="1" applyFill="1" applyAlignment="1">
      <alignment horizontal="right" vertical="center"/>
    </xf>
    <xf numFmtId="167" fontId="20" fillId="15" borderId="30" xfId="0" applyNumberFormat="1" applyFont="1" applyFill="1" applyBorder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right" vertical="center"/>
    </xf>
    <xf numFmtId="1" fontId="24" fillId="20" borderId="0" xfId="0" applyNumberFormat="1" applyFont="1" applyFill="1" applyAlignment="1">
      <alignment horizontal="center" vertical="center"/>
    </xf>
    <xf numFmtId="167" fontId="18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3" fontId="20" fillId="15" borderId="30" xfId="0" applyNumberFormat="1" applyFont="1" applyFill="1" applyBorder="1" applyAlignment="1">
      <alignment horizontal="center" vertical="center"/>
    </xf>
    <xf numFmtId="167" fontId="24" fillId="20" borderId="0" xfId="0" applyNumberFormat="1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167" fontId="21" fillId="0" borderId="0" xfId="0" applyNumberFormat="1" applyFont="1" applyAlignment="1">
      <alignment horizontal="right" vertical="center"/>
    </xf>
    <xf numFmtId="170" fontId="24" fillId="20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7" fillId="13" borderId="7" xfId="1" applyFont="1" applyFill="1" applyBorder="1" applyAlignment="1" applyProtection="1">
      <alignment horizontal="left" vertical="center"/>
    </xf>
    <xf numFmtId="167" fontId="29" fillId="0" borderId="0" xfId="0" applyNumberFormat="1" applyFont="1" applyAlignment="1">
      <alignment horizontal="right" vertical="center"/>
    </xf>
    <xf numFmtId="169" fontId="31" fillId="20" borderId="0" xfId="0" applyNumberFormat="1" applyFont="1" applyFill="1" applyAlignment="1">
      <alignment horizontal="right" vertical="center"/>
    </xf>
    <xf numFmtId="167" fontId="32" fillId="15" borderId="31" xfId="0" applyNumberFormat="1" applyFont="1" applyFill="1" applyBorder="1" applyAlignment="1">
      <alignment horizontal="right" vertical="center"/>
    </xf>
    <xf numFmtId="167" fontId="32" fillId="15" borderId="0" xfId="0" applyNumberFormat="1" applyFont="1" applyFill="1" applyAlignment="1">
      <alignment horizontal="right" vertical="center"/>
    </xf>
    <xf numFmtId="0" fontId="30" fillId="0" borderId="0" xfId="0" applyFont="1">
      <alignment vertical="center"/>
    </xf>
    <xf numFmtId="0" fontId="29" fillId="0" borderId="0" xfId="0" applyFont="1">
      <alignment vertical="center"/>
    </xf>
    <xf numFmtId="0" fontId="32" fillId="15" borderId="0" xfId="0" applyFont="1" applyFill="1">
      <alignment vertical="center"/>
    </xf>
    <xf numFmtId="0" fontId="32" fillId="22" borderId="0" xfId="0" applyFont="1" applyFill="1" applyAlignment="1">
      <alignment horizontal="center" vertical="center"/>
    </xf>
    <xf numFmtId="0" fontId="32" fillId="22" borderId="0" xfId="0" applyFont="1" applyFill="1">
      <alignment vertical="center"/>
    </xf>
    <xf numFmtId="167" fontId="36" fillId="21" borderId="0" xfId="0" applyNumberFormat="1" applyFont="1" applyFill="1" applyAlignment="1">
      <alignment horizontal="center" vertical="center"/>
    </xf>
    <xf numFmtId="0" fontId="32" fillId="22" borderId="0" xfId="0" applyFont="1" applyFill="1" applyAlignment="1">
      <alignment horizontal="center" vertical="center" wrapText="1"/>
    </xf>
    <xf numFmtId="0" fontId="29" fillId="19" borderId="32" xfId="0" applyFont="1" applyFill="1" applyBorder="1" applyAlignment="1">
      <alignment horizontal="center" vertical="center"/>
    </xf>
    <xf numFmtId="3" fontId="31" fillId="20" borderId="33" xfId="0" applyNumberFormat="1" applyFont="1" applyFill="1" applyBorder="1" applyAlignment="1">
      <alignment horizontal="center" vertical="center"/>
    </xf>
    <xf numFmtId="9" fontId="33" fillId="0" borderId="33" xfId="0" applyNumberFormat="1" applyFont="1" applyBorder="1" applyAlignment="1">
      <alignment horizontal="center" vertical="center"/>
    </xf>
    <xf numFmtId="0" fontId="30" fillId="0" borderId="33" xfId="0" applyFont="1" applyBorder="1">
      <alignment vertical="center"/>
    </xf>
    <xf numFmtId="167" fontId="30" fillId="25" borderId="33" xfId="0" applyNumberFormat="1" applyFont="1" applyFill="1" applyBorder="1" applyAlignment="1">
      <alignment horizontal="right" vertical="center"/>
    </xf>
    <xf numFmtId="167" fontId="30" fillId="25" borderId="33" xfId="0" applyNumberFormat="1" applyFont="1" applyFill="1" applyBorder="1">
      <alignment vertical="center"/>
    </xf>
    <xf numFmtId="167" fontId="31" fillId="25" borderId="33" xfId="0" applyNumberFormat="1" applyFont="1" applyFill="1" applyBorder="1" applyAlignment="1">
      <alignment horizontal="right" vertical="center"/>
    </xf>
    <xf numFmtId="167" fontId="30" fillId="25" borderId="34" xfId="0" applyNumberFormat="1" applyFont="1" applyFill="1" applyBorder="1" applyAlignment="1">
      <alignment horizontal="right" vertical="center"/>
    </xf>
    <xf numFmtId="0" fontId="30" fillId="0" borderId="33" xfId="0" applyFont="1" applyBorder="1" applyAlignment="1">
      <alignment horizontal="center" vertical="center"/>
    </xf>
    <xf numFmtId="167" fontId="32" fillId="22" borderId="31" xfId="0" applyNumberFormat="1" applyFont="1" applyFill="1" applyBorder="1" applyAlignment="1">
      <alignment horizontal="right" vertical="center"/>
    </xf>
    <xf numFmtId="0" fontId="29" fillId="26" borderId="0" xfId="0" applyFont="1" applyFill="1">
      <alignment vertical="center"/>
    </xf>
    <xf numFmtId="167" fontId="29" fillId="26" borderId="0" xfId="0" applyNumberFormat="1" applyFont="1" applyFill="1" applyAlignment="1">
      <alignment horizontal="right" vertical="center"/>
    </xf>
    <xf numFmtId="0" fontId="30" fillId="23" borderId="0" xfId="0" applyFont="1" applyFill="1" applyAlignment="1">
      <alignment horizontal="center" vertical="center"/>
    </xf>
    <xf numFmtId="0" fontId="31" fillId="21" borderId="0" xfId="0" applyFont="1" applyFill="1">
      <alignment vertical="center"/>
    </xf>
    <xf numFmtId="0" fontId="31" fillId="21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32" fillId="22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0" fontId="34" fillId="22" borderId="0" xfId="0" applyFont="1" applyFill="1" applyAlignment="1">
      <alignment horizontal="center" vertical="center"/>
    </xf>
    <xf numFmtId="0" fontId="35" fillId="23" borderId="0" xfId="0" applyFont="1" applyFill="1" applyAlignment="1">
      <alignment horizontal="center" vertical="center"/>
    </xf>
    <xf numFmtId="0" fontId="28" fillId="24" borderId="0" xfId="0" applyFont="1" applyFill="1">
      <alignment vertic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textRotation="90"/>
    </xf>
    <xf numFmtId="0" fontId="7" fillId="0" borderId="25" xfId="0" applyFont="1" applyBorder="1" applyAlignment="1">
      <alignment horizontal="center" vertical="center" textRotation="90"/>
    </xf>
    <xf numFmtId="0" fontId="7" fillId="0" borderId="27" xfId="0" applyFont="1" applyBorder="1" applyAlignment="1">
      <alignment horizontal="center" vertical="center" textRotation="90"/>
    </xf>
    <xf numFmtId="0" fontId="7" fillId="0" borderId="24" xfId="0" applyFont="1" applyBorder="1" applyAlignment="1">
      <alignment horizontal="center" vertical="center" textRotation="90"/>
    </xf>
    <xf numFmtId="9" fontId="8" fillId="6" borderId="26" xfId="1" applyFont="1" applyFill="1" applyBorder="1" applyAlignment="1" applyProtection="1">
      <alignment horizontal="left" vertical="center"/>
    </xf>
    <xf numFmtId="9" fontId="8" fillId="6" borderId="25" xfId="1" applyFont="1" applyFill="1" applyBorder="1" applyAlignment="1" applyProtection="1">
      <alignment horizontal="left" vertical="center"/>
    </xf>
    <xf numFmtId="9" fontId="8" fillId="6" borderId="5" xfId="1" applyFont="1" applyFill="1" applyBorder="1" applyAlignment="1" applyProtection="1">
      <alignment horizontal="left" vertical="center"/>
    </xf>
    <xf numFmtId="9" fontId="8" fillId="6" borderId="24" xfId="1" applyFont="1" applyFill="1" applyBorder="1" applyAlignment="1" applyProtection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9" fontId="8" fillId="6" borderId="15" xfId="1" applyFont="1" applyFill="1" applyBorder="1" applyAlignment="1" applyProtection="1">
      <alignment horizontal="left" vertical="center"/>
    </xf>
    <xf numFmtId="9" fontId="8" fillId="6" borderId="17" xfId="1" applyFont="1" applyFill="1" applyBorder="1" applyAlignment="1" applyProtection="1">
      <alignment horizontal="left" vertical="center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left" vertical="center" wrapText="1"/>
    </xf>
    <xf numFmtId="9" fontId="6" fillId="4" borderId="2" xfId="1" applyFont="1" applyFill="1" applyBorder="1" applyAlignment="1">
      <alignment horizontal="right" vertical="center" wrapText="1"/>
    </xf>
    <xf numFmtId="9" fontId="6" fillId="4" borderId="3" xfId="1" applyFont="1" applyFill="1" applyBorder="1" applyAlignment="1">
      <alignment horizontal="right" vertical="center" wrapText="1"/>
    </xf>
    <xf numFmtId="9" fontId="6" fillId="4" borderId="3" xfId="1" applyFont="1" applyFill="1" applyBorder="1" applyAlignment="1">
      <alignment horizontal="left" vertical="center" wrapText="1"/>
    </xf>
    <xf numFmtId="9" fontId="6" fillId="4" borderId="12" xfId="1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right" vertical="center" wrapText="1"/>
    </xf>
    <xf numFmtId="0" fontId="6" fillId="9" borderId="3" xfId="0" applyFont="1" applyFill="1" applyBorder="1" applyAlignment="1">
      <alignment horizontal="right" vertical="center" wrapText="1"/>
    </xf>
    <xf numFmtId="9" fontId="6" fillId="9" borderId="3" xfId="1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right" vertical="center" wrapText="1"/>
    </xf>
    <xf numFmtId="0" fontId="6" fillId="10" borderId="3" xfId="0" applyFont="1" applyFill="1" applyBorder="1" applyAlignment="1">
      <alignment horizontal="right" vertical="center" wrapText="1"/>
    </xf>
    <xf numFmtId="9" fontId="6" fillId="10" borderId="3" xfId="1" applyFont="1" applyFill="1" applyBorder="1" applyAlignment="1">
      <alignment horizontal="left" vertical="center" wrapText="1"/>
    </xf>
    <xf numFmtId="9" fontId="6" fillId="10" borderId="13" xfId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 textRotation="90"/>
    </xf>
    <xf numFmtId="0" fontId="9" fillId="8" borderId="28" xfId="0" applyFont="1" applyFill="1" applyBorder="1" applyAlignment="1">
      <alignment horizontal="center" vertical="center" textRotation="90"/>
    </xf>
    <xf numFmtId="0" fontId="9" fillId="8" borderId="29" xfId="0" applyFont="1" applyFill="1" applyBorder="1" applyAlignment="1">
      <alignment horizontal="center" vertical="center" textRotation="90"/>
    </xf>
    <xf numFmtId="0" fontId="9" fillId="7" borderId="20" xfId="0" applyFont="1" applyFill="1" applyBorder="1" applyAlignment="1">
      <alignment horizontal="center" vertical="center" textRotation="90"/>
    </xf>
    <xf numFmtId="0" fontId="9" fillId="7" borderId="28" xfId="0" applyFont="1" applyFill="1" applyBorder="1" applyAlignment="1">
      <alignment horizontal="center" vertical="center" textRotation="90"/>
    </xf>
    <xf numFmtId="0" fontId="9" fillId="7" borderId="29" xfId="0" applyFont="1" applyFill="1" applyBorder="1" applyAlignment="1">
      <alignment horizontal="center" vertical="center" textRotation="90"/>
    </xf>
    <xf numFmtId="0" fontId="9" fillId="11" borderId="20" xfId="0" applyFont="1" applyFill="1" applyBorder="1" applyAlignment="1">
      <alignment horizontal="center" vertical="center" textRotation="90"/>
    </xf>
    <xf numFmtId="0" fontId="9" fillId="11" borderId="28" xfId="0" applyFont="1" applyFill="1" applyBorder="1" applyAlignment="1">
      <alignment horizontal="center" vertical="center" textRotation="90"/>
    </xf>
    <xf numFmtId="0" fontId="9" fillId="11" borderId="29" xfId="0" applyFont="1" applyFill="1" applyBorder="1" applyAlignment="1">
      <alignment horizontal="center" vertical="center" textRotation="90"/>
    </xf>
    <xf numFmtId="0" fontId="1" fillId="0" borderId="7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4" fillId="20" borderId="0" xfId="0" applyFont="1" applyFill="1">
      <alignment vertical="center"/>
    </xf>
    <xf numFmtId="0" fontId="20" fillId="15" borderId="0" xfId="0" applyFont="1" applyFill="1">
      <alignment vertical="center"/>
    </xf>
    <xf numFmtId="0" fontId="39" fillId="23" borderId="7" xfId="0" applyFont="1" applyFill="1" applyBorder="1" applyAlignment="1">
      <alignment vertical="center" wrapText="1"/>
    </xf>
    <xf numFmtId="167" fontId="30" fillId="0" borderId="7" xfId="0" applyNumberFormat="1" applyFont="1" applyBorder="1" applyAlignment="1">
      <alignment horizontal="right" vertical="center"/>
    </xf>
    <xf numFmtId="0" fontId="38" fillId="19" borderId="35" xfId="0" applyFont="1" applyFill="1" applyBorder="1" applyAlignment="1">
      <alignment horizontal="center" vertical="center"/>
    </xf>
    <xf numFmtId="0" fontId="32" fillId="22" borderId="7" xfId="0" applyFont="1" applyFill="1" applyBorder="1" applyAlignment="1">
      <alignment horizontal="center" vertical="center"/>
    </xf>
    <xf numFmtId="9" fontId="33" fillId="0" borderId="36" xfId="0" applyNumberFormat="1" applyFont="1" applyBorder="1" applyAlignment="1">
      <alignment horizontal="center" vertical="center"/>
    </xf>
    <xf numFmtId="0" fontId="39" fillId="23" borderId="35" xfId="0" applyFont="1" applyFill="1" applyBorder="1" applyAlignment="1">
      <alignment horizontal="center" vertical="center" wrapText="1"/>
    </xf>
    <xf numFmtId="0" fontId="39" fillId="23" borderId="36" xfId="0" applyFont="1" applyFill="1" applyBorder="1" applyAlignment="1">
      <alignment horizontal="center" vertical="center" wrapText="1"/>
    </xf>
  </cellXfs>
  <cellStyles count="3">
    <cellStyle name="Date" xfId="2" xr:uid="{9D3DB538-AA64-41F4-80AD-C077B7268AE5}"/>
    <cellStyle name="Normal" xfId="0" builtinId="0"/>
    <cellStyle name="Percent" xfId="1" builtinId="5"/>
  </cellStyles>
  <dxfs count="68">
    <dxf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8" formatCode="dd\-mmm\-yyyy"/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7" formatCode="&quot;RM&quot;#,##0"/>
      <fill>
        <patternFill patternType="solid">
          <fgColor indexed="64"/>
          <bgColor rgb="FFE6F0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6" formatCode="#,##0.0"/>
      <fill>
        <patternFill patternType="solid">
          <fgColor indexed="64"/>
          <bgColor rgb="FFE6F0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8" formatCode="dd\-mmm\-yyyy"/>
      <fill>
        <patternFill patternType="solid">
          <fgColor indexed="64"/>
          <bgColor rgb="FFE6F0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arrow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fill>
        <patternFill patternType="solid">
          <fgColor indexed="64"/>
          <bgColor rgb="FFE6F0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6" formatCode="#,##0.0"/>
      <fill>
        <patternFill patternType="solid">
          <fgColor indexed="64"/>
          <bgColor rgb="FFE6F0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600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600"/>
        <name val="Arial Narrow"/>
        <scheme val="none"/>
      </font>
      <numFmt numFmtId="166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arrow"/>
        <scheme val="none"/>
      </font>
      <numFmt numFmtId="166" formatCode="#,##0.0"/>
      <fill>
        <patternFill patternType="solid">
          <fgColor indexed="64"/>
          <bgColor rgb="FFE6F0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rgb="FFFFE6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arrow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firstRowStripe" dxfId="62"/>
      <tableStyleElement type="firstColumnStripe" dxfId="61"/>
    </tableStyle>
    <tableStyle name="PivotStylePreset2_Accent1" table="0" count="10" xr9:uid="{267968C8-6FFD-4C36-ACC1-9EA1FD1885CA}">
      <tableStyleElement type="headerRow" dxfId="60"/>
      <tableStyleElement type="totalRow" dxfId="59"/>
      <tableStyleElement type="firstRowStripe" dxfId="58"/>
      <tableStyleElement type="firstColumnStripe" dxfId="57"/>
      <tableStyleElement type="firstSubtotalRow" dxfId="56"/>
      <tableStyleElement type="secondSubtotalRow" dxfId="55"/>
      <tableStyleElement type="firstRowSubheading" dxfId="54"/>
      <tableStyleElement type="secondRowSubheading" dxfId="53"/>
      <tableStyleElement type="pageFieldLabels" dxfId="52"/>
      <tableStyleElement type="pageFieldValues" dxfId="51"/>
    </tableStyle>
    <tableStyle name="To-Do List" pivot="0" count="1" xr9:uid="{1D4D0298-4E7D-4E52-96A9-B86E65A69CDC}">
      <tableStyleElement type="wholeTabl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www.wps.cn/officeDocument/2020/cellImage" Target="cellimages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Transfer-pump pipes is the gap — B 40% vs A 8%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COMPARE!$C$10</c:f>
              <c:strCache>
                <c:ptCount val="1"/>
                <c:pt idx="0">
                  <c:v>Tower A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COMPARE!$B$11:$B$26</c:f>
              <c:strCache>
                <c:ptCount val="16"/>
                <c:pt idx="0">
                  <c:v>Pipe Sleeve</c:v>
                </c:pt>
                <c:pt idx="1">
                  <c:v>Pump</c:v>
                </c:pt>
                <c:pt idx="2">
                  <c:v>Pump Control Panel</c:v>
                </c:pt>
                <c:pt idx="3">
                  <c:v>Transfer Pump Pipes</c:v>
                </c:pt>
                <c:pt idx="4">
                  <c:v>L31 &amp; 31M Roof Piping</c:v>
                </c:pt>
                <c:pt idx="5">
                  <c:v>CW Tenant</c:v>
                </c:pt>
                <c:pt idx="6">
                  <c:v>Backshaft CW &amp; FW Toilets</c:v>
                </c:pt>
                <c:pt idx="7">
                  <c:v>Hosereel Floortrap &amp; Stack</c:v>
                </c:pt>
                <c:pt idx="8">
                  <c:v>Sanitary Tenant</c:v>
                </c:pt>
                <c:pt idx="9">
                  <c:v>Toilet Pipe Distribution &amp; Hacking</c:v>
                </c:pt>
                <c:pt idx="10">
                  <c:v>Sanitary Toilets</c:v>
                </c:pt>
                <c:pt idx="11">
                  <c:v>Sanitary Wares Installation</c:v>
                </c:pt>
                <c:pt idx="12">
                  <c:v>Irrigation Outlet</c:v>
                </c:pt>
                <c:pt idx="13">
                  <c:v>Irrigation Inlet</c:v>
                </c:pt>
                <c:pt idx="14">
                  <c:v>Irrigation Wiring</c:v>
                </c:pt>
                <c:pt idx="15">
                  <c:v>Irrigation Control Panel</c:v>
                </c:pt>
              </c:strCache>
            </c:strRef>
          </c:cat>
          <c:val>
            <c:numRef>
              <c:f>COMPARE!$C$11:$C$26</c:f>
              <c:numCache>
                <c:formatCode>0.0%</c:formatCode>
                <c:ptCount val="16"/>
                <c:pt idx="0">
                  <c:v>0.93250000000000011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</c:v>
                </c:pt>
                <c:pt idx="5">
                  <c:v>0.7200000000000002</c:v>
                </c:pt>
                <c:pt idx="6">
                  <c:v>0.10500000000000001</c:v>
                </c:pt>
                <c:pt idx="7">
                  <c:v>0.35499999999999998</c:v>
                </c:pt>
                <c:pt idx="8">
                  <c:v>0.32500000000000001</c:v>
                </c:pt>
                <c:pt idx="9">
                  <c:v>0.39</c:v>
                </c:pt>
                <c:pt idx="10">
                  <c:v>0.55000000000000004</c:v>
                </c:pt>
                <c:pt idx="11">
                  <c:v>0.125</c:v>
                </c:pt>
                <c:pt idx="12">
                  <c:v>0.27500000000000002</c:v>
                </c:pt>
                <c:pt idx="13">
                  <c:v>4.4999999999999998E-2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A-41F3-9F4D-ADC98A143F77}"/>
            </c:ext>
          </c:extLst>
        </c:ser>
        <c:ser>
          <c:idx val="1"/>
          <c:order val="1"/>
          <c:tx>
            <c:strRef>
              <c:f>COMPARE!$D$10</c:f>
              <c:strCache>
                <c:ptCount val="1"/>
                <c:pt idx="0">
                  <c:v>Tower B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COMPARE!$B$11:$B$26</c:f>
              <c:strCache>
                <c:ptCount val="16"/>
                <c:pt idx="0">
                  <c:v>Pipe Sleeve</c:v>
                </c:pt>
                <c:pt idx="1">
                  <c:v>Pump</c:v>
                </c:pt>
                <c:pt idx="2">
                  <c:v>Pump Control Panel</c:v>
                </c:pt>
                <c:pt idx="3">
                  <c:v>Transfer Pump Pipes</c:v>
                </c:pt>
                <c:pt idx="4">
                  <c:v>L31 &amp; 31M Roof Piping</c:v>
                </c:pt>
                <c:pt idx="5">
                  <c:v>CW Tenant</c:v>
                </c:pt>
                <c:pt idx="6">
                  <c:v>Backshaft CW &amp; FW Toilets</c:v>
                </c:pt>
                <c:pt idx="7">
                  <c:v>Hosereel Floortrap &amp; Stack</c:v>
                </c:pt>
                <c:pt idx="8">
                  <c:v>Sanitary Tenant</c:v>
                </c:pt>
                <c:pt idx="9">
                  <c:v>Toilet Pipe Distribution &amp; Hacking</c:v>
                </c:pt>
                <c:pt idx="10">
                  <c:v>Sanitary Toilets</c:v>
                </c:pt>
                <c:pt idx="11">
                  <c:v>Sanitary Wares Installation</c:v>
                </c:pt>
                <c:pt idx="12">
                  <c:v>Irrigation Outlet</c:v>
                </c:pt>
                <c:pt idx="13">
                  <c:v>Irrigation Inlet</c:v>
                </c:pt>
                <c:pt idx="14">
                  <c:v>Irrigation Wiring</c:v>
                </c:pt>
                <c:pt idx="15">
                  <c:v>Irrigation Control Panel</c:v>
                </c:pt>
              </c:strCache>
            </c:strRef>
          </c:cat>
          <c:val>
            <c:numRef>
              <c:f>COMPARE!$D$11:$D$26</c:f>
              <c:numCache>
                <c:formatCode>0.0%</c:formatCode>
                <c:ptCount val="16"/>
                <c:pt idx="0">
                  <c:v>0.93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</c:v>
                </c:pt>
                <c:pt idx="5">
                  <c:v>0.67500000000000016</c:v>
                </c:pt>
                <c:pt idx="6">
                  <c:v>0.10500000000000001</c:v>
                </c:pt>
                <c:pt idx="7">
                  <c:v>0.35499999999999998</c:v>
                </c:pt>
                <c:pt idx="8">
                  <c:v>0.32500000000000001</c:v>
                </c:pt>
                <c:pt idx="9">
                  <c:v>0.39</c:v>
                </c:pt>
                <c:pt idx="10">
                  <c:v>0.45</c:v>
                </c:pt>
                <c:pt idx="11">
                  <c:v>0.1</c:v>
                </c:pt>
                <c:pt idx="12">
                  <c:v>0.27500000000000002</c:v>
                </c:pt>
                <c:pt idx="13">
                  <c:v>4.4999999999999998E-2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A-41F3-9F4D-ADC98A14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028672"/>
        <c:axId val="1963350496"/>
      </c:barChart>
      <c:catAx>
        <c:axId val="2402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50496"/>
        <c:crosses val="autoZero"/>
        <c:auto val="1"/>
        <c:lblAlgn val="ctr"/>
        <c:lblOffset val="100"/>
        <c:noMultiLvlLbl val="0"/>
      </c:catAx>
      <c:valAx>
        <c:axId val="1963350496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Tower B ahead on 8 floors, Tower A on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FLOORS!$B$4</c:f>
              <c:strCache>
                <c:ptCount val="1"/>
                <c:pt idx="0">
                  <c:v>Tower A</c:v>
                </c:pt>
              </c:strCache>
            </c:strRef>
          </c:tx>
          <c:spPr>
            <a:ln w="28575" cap="rnd">
              <a:solidFill>
                <a:srgbClr val="2F5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FLOORS!$A$5:$A$24</c:f>
              <c:strCache>
                <c:ptCount val="2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31M</c:v>
                </c:pt>
              </c:strCache>
            </c:strRef>
          </c:cat>
          <c:val>
            <c:numRef>
              <c:f>FLOORS!$B$5:$B$24</c:f>
              <c:numCache>
                <c:formatCode>0.0%</c:formatCode>
                <c:ptCount val="20"/>
                <c:pt idx="0">
                  <c:v>0.32500000000000001</c:v>
                </c:pt>
                <c:pt idx="1">
                  <c:v>0.82500000000000007</c:v>
                </c:pt>
                <c:pt idx="2">
                  <c:v>0.82500000000000007</c:v>
                </c:pt>
                <c:pt idx="3">
                  <c:v>0.70833333333333337</c:v>
                </c:pt>
                <c:pt idx="4">
                  <c:v>0.65833333333333333</c:v>
                </c:pt>
                <c:pt idx="5">
                  <c:v>0.6166666666666667</c:v>
                </c:pt>
                <c:pt idx="6">
                  <c:v>0.57500000000000007</c:v>
                </c:pt>
                <c:pt idx="7">
                  <c:v>0.45</c:v>
                </c:pt>
                <c:pt idx="8">
                  <c:v>0.33333333333333331</c:v>
                </c:pt>
                <c:pt idx="9">
                  <c:v>0.3</c:v>
                </c:pt>
                <c:pt idx="10">
                  <c:v>0.15833333333333333</c:v>
                </c:pt>
                <c:pt idx="11">
                  <c:v>0.15833333333333333</c:v>
                </c:pt>
                <c:pt idx="12">
                  <c:v>0.24166666666666667</c:v>
                </c:pt>
                <c:pt idx="13">
                  <c:v>0.22500000000000001</c:v>
                </c:pt>
                <c:pt idx="14">
                  <c:v>0.24166666666666667</c:v>
                </c:pt>
                <c:pt idx="15">
                  <c:v>0.15833333333333333</c:v>
                </c:pt>
                <c:pt idx="16">
                  <c:v>0.15833333333333333</c:v>
                </c:pt>
                <c:pt idx="17">
                  <c:v>8.3333333333333329E-2</c:v>
                </c:pt>
                <c:pt idx="18">
                  <c:v>0.15666666666666668</c:v>
                </c:pt>
                <c:pt idx="19">
                  <c:v>6.2500000000000003E-3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D-4100-83A1-F2A99D7338F3}"/>
            </c:ext>
          </c:extLst>
        </c:ser>
        <c:ser>
          <c:idx val="1"/>
          <c:order val="1"/>
          <c:tx>
            <c:strRef>
              <c:f>FLOORS!$C$4</c:f>
              <c:strCache>
                <c:ptCount val="1"/>
                <c:pt idx="0">
                  <c:v>Tower B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FLOORS!$A$5:$A$24</c:f>
              <c:strCache>
                <c:ptCount val="2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31M</c:v>
                </c:pt>
              </c:strCache>
            </c:strRef>
          </c:cat>
          <c:val>
            <c:numRef>
              <c:f>FLOORS!$C$5:$C$24</c:f>
              <c:numCache>
                <c:formatCode>0.0%</c:formatCode>
                <c:ptCount val="20"/>
                <c:pt idx="0">
                  <c:v>0.33333333333333331</c:v>
                </c:pt>
                <c:pt idx="1">
                  <c:v>0.82500000000000007</c:v>
                </c:pt>
                <c:pt idx="2">
                  <c:v>0.82500000000000007</c:v>
                </c:pt>
                <c:pt idx="3">
                  <c:v>0.66666666666666663</c:v>
                </c:pt>
                <c:pt idx="4">
                  <c:v>0.65833333333333333</c:v>
                </c:pt>
                <c:pt idx="5">
                  <c:v>0.6166666666666667</c:v>
                </c:pt>
                <c:pt idx="6">
                  <c:v>0.57500000000000007</c:v>
                </c:pt>
                <c:pt idx="7">
                  <c:v>0.45</c:v>
                </c:pt>
                <c:pt idx="8">
                  <c:v>0.32500000000000001</c:v>
                </c:pt>
                <c:pt idx="9">
                  <c:v>0.3</c:v>
                </c:pt>
                <c:pt idx="10">
                  <c:v>0.15833333333333333</c:v>
                </c:pt>
                <c:pt idx="11">
                  <c:v>0.15833333333333333</c:v>
                </c:pt>
                <c:pt idx="12">
                  <c:v>0.15833333333333333</c:v>
                </c:pt>
                <c:pt idx="13">
                  <c:v>0.22500000000000001</c:v>
                </c:pt>
                <c:pt idx="14">
                  <c:v>0.15833333333333333</c:v>
                </c:pt>
                <c:pt idx="15">
                  <c:v>0.15833333333333333</c:v>
                </c:pt>
                <c:pt idx="16">
                  <c:v>8.3333333333333329E-2</c:v>
                </c:pt>
                <c:pt idx="17">
                  <c:v>8.3333333333333329E-2</c:v>
                </c:pt>
                <c:pt idx="18">
                  <c:v>0.15333333333333332</c:v>
                </c:pt>
                <c:pt idx="19">
                  <c:v>6.2500000000000003E-3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2D-4100-83A1-F2A99D73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6144"/>
        <c:axId val="23594560"/>
      </c:lineChart>
      <c:catAx>
        <c:axId val="136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4560"/>
        <c:crosses val="autoZero"/>
        <c:auto val="1"/>
        <c:lblAlgn val="ctr"/>
        <c:lblOffset val="100"/>
        <c:noMultiLvlLbl val="0"/>
      </c:catAx>
      <c:valAx>
        <c:axId val="2359456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% complete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Qty still required by package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ORDER!$N$4</c:f>
              <c:strCache>
                <c:ptCount val="1"/>
                <c:pt idx="0">
                  <c:v>Required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ORDER!$M$5:$M$7</c:f>
              <c:strCache>
                <c:ptCount val="3"/>
                <c:pt idx="0">
                  <c:v>Cold Water</c:v>
                </c:pt>
                <c:pt idx="1">
                  <c:v>Sanitary</c:v>
                </c:pt>
                <c:pt idx="2">
                  <c:v>Irrigation</c:v>
                </c:pt>
              </c:strCache>
            </c:strRef>
          </c:cat>
          <c:val>
            <c:numRef>
              <c:f>ORDER!$N$5:$N$7</c:f>
              <c:numCache>
                <c:formatCode>#,##0.0</c:formatCode>
                <c:ptCount val="3"/>
                <c:pt idx="0">
                  <c:v>81.050000000000011</c:v>
                </c:pt>
                <c:pt idx="1">
                  <c:v>582.29999999999995</c:v>
                </c:pt>
                <c:pt idx="2">
                  <c:v>111.2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6-42F6-BC6D-9F322A8A5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2322336"/>
        <c:axId val="1963297216"/>
      </c:barChart>
      <c:catAx>
        <c:axId val="196232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97216"/>
        <c:crosses val="autoZero"/>
        <c:auto val="1"/>
        <c:lblAlgn val="ctr"/>
        <c:lblOffset val="100"/>
        <c:noMultiLvlLbl val="0"/>
      </c:catAx>
      <c:valAx>
        <c:axId val="1963297216"/>
        <c:scaling>
          <c:orientation val="minMax"/>
          <c:min val="0"/>
        </c:scaling>
        <c:delete val="0"/>
        <c:axPos val="b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2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Package % complete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'SITE REPORT'!$B$4:$D$4</c:f>
              <c:strCache>
                <c:ptCount val="3"/>
                <c:pt idx="0">
                  <c:v>Cold Water</c:v>
                </c:pt>
                <c:pt idx="1">
                  <c:v>Sanitary</c:v>
                </c:pt>
                <c:pt idx="2">
                  <c:v>Irrigation</c:v>
                </c:pt>
              </c:strCache>
            </c:strRef>
          </c:cat>
          <c:val>
            <c:numRef>
              <c:f>'SITE REPORT'!$B$5:$D$5</c:f>
              <c:numCache>
                <c:formatCode>0.0%</c:formatCode>
                <c:ptCount val="3"/>
                <c:pt idx="0">
                  <c:v>0.44053571428571425</c:v>
                </c:pt>
                <c:pt idx="1">
                  <c:v>0.33649999999999997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8-4C44-B186-C2646FA0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694336"/>
        <c:axId val="23593600"/>
      </c:barChart>
      <c:catAx>
        <c:axId val="202169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3600"/>
        <c:crosses val="autoZero"/>
        <c:auto val="1"/>
        <c:lblAlgn val="ctr"/>
        <c:lblOffset val="100"/>
        <c:noMultiLvlLbl val="0"/>
      </c:catAx>
      <c:valAx>
        <c:axId val="2359360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9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Remaining work is irrigation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MANPOWER!$G$4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MANPOWER!$F$5:$F$7</c:f>
              <c:strCache>
                <c:ptCount val="3"/>
                <c:pt idx="0">
                  <c:v>Cold Water</c:v>
                </c:pt>
                <c:pt idx="1">
                  <c:v>Sanitary</c:v>
                </c:pt>
                <c:pt idx="2">
                  <c:v>Irrigation</c:v>
                </c:pt>
              </c:strCache>
            </c:strRef>
          </c:cat>
          <c:val>
            <c:numRef>
              <c:f>MANPOWER!$G$5:$G$7</c:f>
              <c:numCache>
                <c:formatCode>0.0%</c:formatCode>
                <c:ptCount val="3"/>
                <c:pt idx="0">
                  <c:v>0.44053571428571425</c:v>
                </c:pt>
                <c:pt idx="1">
                  <c:v>0.33649999999999997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D-4843-B6DC-1B93E37B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1702688"/>
        <c:axId val="2035338624"/>
      </c:barChart>
      <c:catAx>
        <c:axId val="202170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38624"/>
        <c:crosses val="autoZero"/>
        <c:auto val="1"/>
        <c:lblAlgn val="ctr"/>
        <c:lblOffset val="100"/>
        <c:noMultiLvlLbl val="0"/>
      </c:catAx>
      <c:valAx>
        <c:axId val="2035338624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0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TradesAvB">
          <a:extLst>
            <a:ext uri="{FF2B5EF4-FFF2-40B4-BE49-F238E27FC236}">
              <a16:creationId xmlns:a16="http://schemas.microsoft.com/office/drawing/2014/main" id="{001F1815-BB6B-D790-A2DA-5C24AD7E7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FloorsAvB">
          <a:extLst>
            <a:ext uri="{FF2B5EF4-FFF2-40B4-BE49-F238E27FC236}">
              <a16:creationId xmlns:a16="http://schemas.microsoft.com/office/drawing/2014/main" id="{E90289A2-C75E-B5FB-1111-0531D214D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2" name="OrderByPackage">
          <a:extLst>
            <a:ext uri="{FF2B5EF4-FFF2-40B4-BE49-F238E27FC236}">
              <a16:creationId xmlns:a16="http://schemas.microsoft.com/office/drawing/2014/main" id="{6E721385-D3A5-C9D1-4BAA-9502FA77D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PackageKPI">
          <a:extLst>
            <a:ext uri="{FF2B5EF4-FFF2-40B4-BE49-F238E27FC236}">
              <a16:creationId xmlns:a16="http://schemas.microsoft.com/office/drawing/2014/main" id="{A48FC271-30C9-BFE6-9378-EAC397904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2" name="PkgProgress">
          <a:extLst>
            <a:ext uri="{FF2B5EF4-FFF2-40B4-BE49-F238E27FC236}">
              <a16:creationId xmlns:a16="http://schemas.microsoft.com/office/drawing/2014/main" id="{A8BF2928-C200-624D-CCC5-C577BC960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4EF64-C3D2-4747-B867-4E0B6A6F5B8D}" name="MaterialOrder" displayName="MaterialOrder" ref="A4:K23" totalsRowShown="0" headerRowDxfId="49">
  <autoFilter ref="A4:K23" xr:uid="{C124EF64-C3D2-4747-B867-4E0B6A6F5B8D}"/>
  <tableColumns count="11">
    <tableColumn id="1" xr3:uid="{8802B2DC-48A9-4BC1-A77D-51EDBE71A4BD}" name="Package" dataDxfId="48"/>
    <tableColumn id="2" xr3:uid="{817723E6-6B26-443B-8368-07BDC01D927F}" name="Material" dataDxfId="47"/>
    <tableColumn id="3" xr3:uid="{F2542032-28F6-4A7D-B997-9D2026DAA513}" name="Unit" dataDxfId="46"/>
    <tableColumn id="4" xr3:uid="{EA4DD785-959C-42E9-8F65-586AAE80DD5A}" name="Qty / floor" dataDxfId="45"/>
    <tableColumn id="5" xr3:uid="{66F40022-1587-47A6-9E58-3CA00A03BE81}" name="Remaining A" dataDxfId="44"/>
    <tableColumn id="6" xr3:uid="{A3E1BBF3-8887-4433-9ACF-932EF604BFA3}" name="Remaining B" dataDxfId="43"/>
    <tableColumn id="7" xr3:uid="{3C8E1223-DD62-4A78-820C-3FEC3916E053}" name="Required" dataDxfId="42">
      <calculatedColumnFormula>D5*(E5+F5)</calculatedColumnFormula>
    </tableColumn>
    <tableColumn id="8" xr3:uid="{85A3A1C6-2EA1-4FA0-8ADF-F263BEE3ED13}" name="Ordered" dataDxfId="41"/>
    <tableColumn id="9" xr3:uid="{AAFECE1E-4A40-4016-B853-915EC64A4B5F}" name="Balance" dataDxfId="40">
      <calculatedColumnFormula>G5-H5</calculatedColumnFormula>
    </tableColumn>
    <tableColumn id="10" xr3:uid="{8E33E60F-6CC3-4E9A-B679-48C5F0C20936}" name="Status" dataDxfId="39">
      <calculatedColumnFormula>IF(I5&lt;=0,"Complete",IF(H5&gt;0,"Partial","To Order"))</calculatedColumnFormula>
    </tableColumn>
    <tableColumn id="11" xr3:uid="{93125652-C562-4319-B44D-32B2350A89C6}" name="Remarks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7590CA-9A4F-4490-93A3-F564BAA95F08}" name="POLog" displayName="POLog" ref="A4:J16" totalsRowShown="0" headerRowDxfId="37">
  <autoFilter ref="A4:J16" xr:uid="{D37590CA-9A4F-4490-93A3-F564BAA95F08}"/>
  <tableColumns count="10">
    <tableColumn id="1" xr3:uid="{37689F56-210F-496D-8C6F-39EDD9F439BE}" name="Date" dataDxfId="36"/>
    <tableColumn id="2" xr3:uid="{A2434FA1-5C6E-4216-B126-DAC951DB33AB}" name="PO No" dataDxfId="35"/>
    <tableColumn id="3" xr3:uid="{B457719A-6F4F-4E37-867A-D784C5F05EEA}" name="Material" dataDxfId="34"/>
    <tableColumn id="4" xr3:uid="{A4A22C33-934E-495A-9897-18D8C3B32A17}" name="Supplier" dataDxfId="33"/>
    <tableColumn id="5" xr3:uid="{A3913A42-612D-4C59-90E6-8B01B2FE5858}" name="Qty" dataDxfId="32"/>
    <tableColumn id="6" xr3:uid="{6800F213-66FB-43BF-BBEC-3FAE9948AFEC}" name="Unit" dataDxfId="31">
      <calculatedColumnFormula>IF(C5="","",_xlfn.XLOOKUP(C5,ORDER!B$5:B$23,ORDER!C$5:C$23))</calculatedColumnFormula>
    </tableColumn>
    <tableColumn id="7" xr3:uid="{32165C47-5C5B-480B-8CCA-C52000D50238}" name="Amount RM" dataDxfId="30"/>
    <tableColumn id="8" xr3:uid="{94336894-4E1A-48AC-BD96-F4FC97EC2912}" name="Status" dataDxfId="29"/>
    <tableColumn id="9" xr3:uid="{3E4A7506-52FA-46C4-944C-F26194D8420F}" name="ETA" dataDxfId="28"/>
    <tableColumn id="10" xr3:uid="{FE0E409F-58FE-4AE5-BAE0-D14A36A6420F}" name="Remarks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  <wetp:taskpane dockstate="right" visibility="0" width="438" row="9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04A342B2-CF30-4BFA-A7C4-2DC686799703}">
  <we:reference id="wa200011056" version="1.0.0.2" store="en-US" storeType="OMEX"/>
  <we:alternateReferences>
    <we:reference id="WA200011056" version="1.0.0.2" store="WA200011056" storeType="OMEX"/>
  </we:alternateReferences>
  <we:properties>
    <we:property name="grokConversationBinding" value="{&quot;responseId&quot;:&quot;901e2cc5-0626-9987-98a7-8322d8d4077c&quot;,&quot;title&quot;:&quot;Hose Reel Toilet Per-Tower Formulas&quot;,&quot;transport&quot;:&quot;responses&quot;}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90D3843-673E-4389-8840-BA97EB6FEA32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821788306054439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554AC39B-E2A1-4D52-A68B-F9F416E4173A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45DDC84F-A48A-45F7-9B5E-F5D9071F7EF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FkRE7E-szNtYV4HuGt6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zoomScale="31" zoomScaleNormal="34" workbookViewId="0">
      <pane xSplit="1" topLeftCell="B1" activePane="topRight" state="frozen"/>
      <selection pane="topRight" activeCell="V23" sqref="V22:V23"/>
    </sheetView>
  </sheetViews>
  <sheetFormatPr defaultColWidth="8.88671875" defaultRowHeight="14.4"/>
  <cols>
    <col min="1" max="1" width="8" style="1" bestFit="1" customWidth="1"/>
    <col min="2" max="2" width="17.33203125" style="1" bestFit="1" customWidth="1"/>
    <col min="3" max="8" width="22.44140625" style="1" customWidth="1"/>
    <col min="9" max="9" width="25.109375" style="1" customWidth="1"/>
    <col min="10" max="10" width="25.44140625" style="1" customWidth="1"/>
    <col min="11" max="11" width="22.44140625" style="1" customWidth="1"/>
    <col min="12" max="12" width="27" style="1" customWidth="1"/>
    <col min="13" max="13" width="22.44140625" style="1" customWidth="1"/>
    <col min="14" max="14" width="27.77734375" style="1" customWidth="1"/>
    <col min="15" max="15" width="24.77734375" style="1" customWidth="1"/>
    <col min="16" max="16" width="24.109375" style="1" customWidth="1"/>
    <col min="17" max="17" width="23.44140625" style="1" customWidth="1"/>
    <col min="18" max="18" width="24.77734375" style="1" customWidth="1"/>
    <col min="19" max="16384" width="8.88671875" style="1"/>
  </cols>
  <sheetData>
    <row r="1" spans="1:18" s="36" customFormat="1" ht="36.6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68" t="e" vm="1">
        <v>#VALUE!</v>
      </c>
    </row>
    <row r="2" spans="1:18" s="36" customFormat="1" ht="36.6">
      <c r="A2" s="172" t="s">
        <v>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68"/>
    </row>
    <row r="3" spans="1:18" s="36" customFormat="1" ht="37.200000000000003" thickBot="1">
      <c r="A3" s="172" t="s">
        <v>39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68"/>
    </row>
    <row r="4" spans="1:18" ht="25.2" customHeight="1">
      <c r="A4" s="156" t="s">
        <v>2</v>
      </c>
      <c r="B4" s="157"/>
      <c r="C4" s="173" t="s">
        <v>3</v>
      </c>
      <c r="D4" s="174"/>
      <c r="E4" s="174"/>
      <c r="F4" s="174"/>
      <c r="G4" s="175">
        <f>(C46+D46+E46+F46+G46+H46+I46)/7</f>
        <v>0.44053571428571425</v>
      </c>
      <c r="H4" s="175"/>
      <c r="I4" s="176"/>
      <c r="J4" s="177" t="s">
        <v>4</v>
      </c>
      <c r="K4" s="178"/>
      <c r="L4" s="179">
        <f>(J46+K46+L46+M46+N46)/5</f>
        <v>0.33649999999999997</v>
      </c>
      <c r="M4" s="179"/>
      <c r="N4" s="179"/>
      <c r="O4" s="180" t="s">
        <v>5</v>
      </c>
      <c r="P4" s="181"/>
      <c r="Q4" s="182">
        <f>(O46+P46+Q46+R46)/4</f>
        <v>0.08</v>
      </c>
      <c r="R4" s="183"/>
    </row>
    <row r="5" spans="1:18" s="2" customFormat="1" ht="108.6" customHeight="1">
      <c r="A5" s="158"/>
      <c r="B5" s="159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4" t="s">
        <v>13</v>
      </c>
      <c r="K5" s="37" t="s">
        <v>14</v>
      </c>
      <c r="L5" s="14" t="s">
        <v>15</v>
      </c>
      <c r="M5" s="37" t="s">
        <v>16</v>
      </c>
      <c r="N5" s="14" t="s">
        <v>17</v>
      </c>
      <c r="O5" s="15" t="s">
        <v>18</v>
      </c>
      <c r="P5" s="15" t="s">
        <v>19</v>
      </c>
      <c r="Q5" s="15" t="s">
        <v>20</v>
      </c>
      <c r="R5" s="16" t="s">
        <v>21</v>
      </c>
    </row>
    <row r="6" spans="1:18" ht="25.2" customHeight="1">
      <c r="A6" s="3">
        <v>13</v>
      </c>
      <c r="B6" s="160" t="s">
        <v>22</v>
      </c>
      <c r="C6" s="4">
        <v>1</v>
      </c>
      <c r="D6" s="164" t="s">
        <v>23</v>
      </c>
      <c r="E6" s="164" t="s">
        <v>23</v>
      </c>
      <c r="F6" s="4">
        <v>1</v>
      </c>
      <c r="G6" s="164" t="s">
        <v>23</v>
      </c>
      <c r="H6" s="4">
        <v>0</v>
      </c>
      <c r="I6" s="4">
        <v>0</v>
      </c>
      <c r="J6" s="4">
        <f>0/6</f>
        <v>0</v>
      </c>
      <c r="K6" s="38">
        <v>0</v>
      </c>
      <c r="L6" s="4">
        <f>0/4</f>
        <v>0</v>
      </c>
      <c r="M6" s="38">
        <f>0/4</f>
        <v>0</v>
      </c>
      <c r="N6" s="4">
        <v>0</v>
      </c>
      <c r="O6" s="4">
        <v>1</v>
      </c>
      <c r="P6" s="4">
        <v>0.9</v>
      </c>
      <c r="Q6" s="4">
        <v>0</v>
      </c>
      <c r="R6" s="169" t="s">
        <v>23</v>
      </c>
    </row>
    <row r="7" spans="1:18" ht="25.2">
      <c r="A7" s="3">
        <v>14</v>
      </c>
      <c r="B7" s="161"/>
      <c r="C7" s="4">
        <v>1</v>
      </c>
      <c r="D7" s="165"/>
      <c r="E7" s="165"/>
      <c r="F7" s="4">
        <v>1</v>
      </c>
      <c r="G7" s="165"/>
      <c r="H7" s="4">
        <v>0.9</v>
      </c>
      <c r="I7" s="4">
        <v>1</v>
      </c>
      <c r="J7" s="4">
        <f t="shared" ref="J7:J13" si="0">6/6</f>
        <v>1</v>
      </c>
      <c r="K7" s="38">
        <v>1</v>
      </c>
      <c r="L7" s="4">
        <f t="shared" ref="L7:M12" si="1">4/4</f>
        <v>1</v>
      </c>
      <c r="M7" s="38">
        <f t="shared" si="1"/>
        <v>1</v>
      </c>
      <c r="N7" s="4">
        <v>1</v>
      </c>
      <c r="O7" s="4">
        <v>1</v>
      </c>
      <c r="P7" s="4">
        <v>0</v>
      </c>
      <c r="Q7" s="4">
        <v>0</v>
      </c>
      <c r="R7" s="169"/>
    </row>
    <row r="8" spans="1:18" ht="25.2">
      <c r="A8" s="3">
        <v>15</v>
      </c>
      <c r="B8" s="161"/>
      <c r="C8" s="4">
        <v>1</v>
      </c>
      <c r="D8" s="165"/>
      <c r="E8" s="165"/>
      <c r="F8" s="4">
        <v>1</v>
      </c>
      <c r="G8" s="165"/>
      <c r="H8" s="4">
        <v>0.9</v>
      </c>
      <c r="I8" s="4">
        <v>1</v>
      </c>
      <c r="J8" s="4">
        <f t="shared" si="0"/>
        <v>1</v>
      </c>
      <c r="K8" s="38">
        <v>1</v>
      </c>
      <c r="L8" s="4">
        <f t="shared" si="1"/>
        <v>1</v>
      </c>
      <c r="M8" s="38">
        <f t="shared" si="1"/>
        <v>1</v>
      </c>
      <c r="N8" s="4">
        <v>1</v>
      </c>
      <c r="O8" s="4">
        <v>1</v>
      </c>
      <c r="P8" s="4">
        <v>0</v>
      </c>
      <c r="Q8" s="4">
        <v>0</v>
      </c>
      <c r="R8" s="169"/>
    </row>
    <row r="9" spans="1:18" ht="25.2">
      <c r="A9" s="3">
        <v>16</v>
      </c>
      <c r="B9" s="161"/>
      <c r="C9" s="4">
        <v>1</v>
      </c>
      <c r="D9" s="165"/>
      <c r="E9" s="165"/>
      <c r="F9" s="4">
        <v>1</v>
      </c>
      <c r="G9" s="165"/>
      <c r="H9" s="4">
        <v>0.9</v>
      </c>
      <c r="I9" s="4">
        <v>0.1</v>
      </c>
      <c r="J9" s="4">
        <f t="shared" si="0"/>
        <v>1</v>
      </c>
      <c r="K9" s="38">
        <v>1</v>
      </c>
      <c r="L9" s="4">
        <f t="shared" si="1"/>
        <v>1</v>
      </c>
      <c r="M9" s="38">
        <f t="shared" si="1"/>
        <v>1</v>
      </c>
      <c r="N9" s="4">
        <v>0.5</v>
      </c>
      <c r="O9" s="4">
        <v>1</v>
      </c>
      <c r="P9" s="4">
        <v>0</v>
      </c>
      <c r="Q9" s="4">
        <v>0</v>
      </c>
      <c r="R9" s="169"/>
    </row>
    <row r="10" spans="1:18" ht="25.2">
      <c r="A10" s="3">
        <v>17</v>
      </c>
      <c r="B10" s="161"/>
      <c r="C10" s="4">
        <v>1</v>
      </c>
      <c r="D10" s="165"/>
      <c r="E10" s="165"/>
      <c r="F10" s="4">
        <v>1</v>
      </c>
      <c r="G10" s="165"/>
      <c r="H10" s="4">
        <v>0.9</v>
      </c>
      <c r="I10" s="4">
        <v>0</v>
      </c>
      <c r="J10" s="4">
        <f t="shared" si="0"/>
        <v>1</v>
      </c>
      <c r="K10" s="38">
        <v>1</v>
      </c>
      <c r="L10" s="4">
        <f t="shared" si="1"/>
        <v>1</v>
      </c>
      <c r="M10" s="38">
        <f t="shared" si="1"/>
        <v>1</v>
      </c>
      <c r="N10" s="4">
        <v>0</v>
      </c>
      <c r="O10" s="4">
        <v>1</v>
      </c>
      <c r="P10" s="4">
        <v>0</v>
      </c>
      <c r="Q10" s="4">
        <v>0</v>
      </c>
      <c r="R10" s="169"/>
    </row>
    <row r="11" spans="1:18" ht="25.2">
      <c r="A11" s="3">
        <v>18</v>
      </c>
      <c r="B11" s="161"/>
      <c r="C11" s="4">
        <v>1</v>
      </c>
      <c r="D11" s="165"/>
      <c r="E11" s="165"/>
      <c r="F11" s="4">
        <v>1</v>
      </c>
      <c r="G11" s="165"/>
      <c r="H11" s="4">
        <v>0.9</v>
      </c>
      <c r="I11" s="4">
        <v>0</v>
      </c>
      <c r="J11" s="4">
        <f t="shared" si="0"/>
        <v>1</v>
      </c>
      <c r="K11" s="38">
        <v>1</v>
      </c>
      <c r="L11" s="4">
        <f t="shared" si="1"/>
        <v>1</v>
      </c>
      <c r="M11" s="38">
        <f t="shared" si="1"/>
        <v>1</v>
      </c>
      <c r="N11" s="4">
        <v>0</v>
      </c>
      <c r="O11" s="4">
        <v>0.5</v>
      </c>
      <c r="P11" s="4">
        <v>0</v>
      </c>
      <c r="Q11" s="4">
        <v>0</v>
      </c>
      <c r="R11" s="169"/>
    </row>
    <row r="12" spans="1:18" ht="25.2">
      <c r="A12" s="3">
        <v>19</v>
      </c>
      <c r="B12" s="161"/>
      <c r="C12" s="4">
        <v>1</v>
      </c>
      <c r="D12" s="165"/>
      <c r="E12" s="165"/>
      <c r="F12" s="4">
        <v>1</v>
      </c>
      <c r="G12" s="165"/>
      <c r="H12" s="4">
        <v>0.9</v>
      </c>
      <c r="I12" s="4">
        <v>0</v>
      </c>
      <c r="J12" s="4">
        <f t="shared" si="0"/>
        <v>1</v>
      </c>
      <c r="K12" s="38">
        <v>1</v>
      </c>
      <c r="L12" s="4">
        <f t="shared" si="1"/>
        <v>1</v>
      </c>
      <c r="M12" s="38">
        <f t="shared" si="1"/>
        <v>1</v>
      </c>
      <c r="N12" s="4">
        <v>0</v>
      </c>
      <c r="O12" s="4">
        <v>0</v>
      </c>
      <c r="P12" s="4">
        <v>0</v>
      </c>
      <c r="Q12" s="4">
        <v>0</v>
      </c>
      <c r="R12" s="169"/>
    </row>
    <row r="13" spans="1:18" ht="25.2">
      <c r="A13" s="3">
        <v>20</v>
      </c>
      <c r="B13" s="161"/>
      <c r="C13" s="4">
        <v>1</v>
      </c>
      <c r="D13" s="165"/>
      <c r="E13" s="165"/>
      <c r="F13" s="4">
        <v>1</v>
      </c>
      <c r="G13" s="165"/>
      <c r="H13" s="4">
        <v>0.9</v>
      </c>
      <c r="I13" s="4">
        <v>0</v>
      </c>
      <c r="J13" s="4">
        <f t="shared" si="0"/>
        <v>1</v>
      </c>
      <c r="K13" s="38">
        <v>0.5</v>
      </c>
      <c r="L13" s="4">
        <f>0/4</f>
        <v>0</v>
      </c>
      <c r="M13" s="38">
        <f>4/4</f>
        <v>1</v>
      </c>
      <c r="N13" s="4">
        <v>0</v>
      </c>
      <c r="O13" s="4">
        <v>0</v>
      </c>
      <c r="P13" s="4">
        <v>0</v>
      </c>
      <c r="Q13" s="4">
        <v>0</v>
      </c>
      <c r="R13" s="169"/>
    </row>
    <row r="14" spans="1:18" ht="25.2">
      <c r="A14" s="3">
        <v>21</v>
      </c>
      <c r="B14" s="161"/>
      <c r="C14" s="4">
        <v>1</v>
      </c>
      <c r="D14" s="165"/>
      <c r="E14" s="165"/>
      <c r="F14" s="4">
        <v>1</v>
      </c>
      <c r="G14" s="165"/>
      <c r="H14" s="4">
        <v>0.9</v>
      </c>
      <c r="I14" s="4">
        <v>0</v>
      </c>
      <c r="J14" s="4">
        <f>0.6/6</f>
        <v>9.9999999999999992E-2</v>
      </c>
      <c r="K14" s="38">
        <v>0</v>
      </c>
      <c r="L14" s="4">
        <f>0/4</f>
        <v>0</v>
      </c>
      <c r="M14" s="38">
        <f>4/4</f>
        <v>1</v>
      </c>
      <c r="N14" s="4">
        <v>0</v>
      </c>
      <c r="O14" s="4">
        <v>0</v>
      </c>
      <c r="P14" s="4">
        <v>0</v>
      </c>
      <c r="Q14" s="4">
        <v>0</v>
      </c>
      <c r="R14" s="169"/>
    </row>
    <row r="15" spans="1:18" ht="25.2">
      <c r="A15" s="3">
        <v>22</v>
      </c>
      <c r="B15" s="161"/>
      <c r="C15" s="4">
        <v>1</v>
      </c>
      <c r="D15" s="165"/>
      <c r="E15" s="165"/>
      <c r="F15" s="4">
        <v>0</v>
      </c>
      <c r="G15" s="165"/>
      <c r="H15" s="4">
        <v>0.9</v>
      </c>
      <c r="I15" s="4">
        <v>0</v>
      </c>
      <c r="J15" s="4">
        <f t="shared" ref="J15:J25" si="2">0/6</f>
        <v>0</v>
      </c>
      <c r="K15" s="38">
        <v>0</v>
      </c>
      <c r="L15" s="4">
        <f>4/4</f>
        <v>1</v>
      </c>
      <c r="M15" s="38">
        <f>4/4</f>
        <v>1</v>
      </c>
      <c r="N15" s="4">
        <v>0</v>
      </c>
      <c r="O15" s="4">
        <v>0</v>
      </c>
      <c r="P15" s="4">
        <v>0</v>
      </c>
      <c r="Q15" s="4">
        <v>0</v>
      </c>
      <c r="R15" s="5">
        <v>0</v>
      </c>
    </row>
    <row r="16" spans="1:18" ht="25.2">
      <c r="A16" s="3">
        <v>23</v>
      </c>
      <c r="B16" s="161"/>
      <c r="C16" s="4">
        <v>1</v>
      </c>
      <c r="D16" s="165"/>
      <c r="E16" s="165"/>
      <c r="F16" s="4">
        <v>0</v>
      </c>
      <c r="G16" s="165"/>
      <c r="H16" s="4">
        <v>0.9</v>
      </c>
      <c r="I16" s="4">
        <v>0</v>
      </c>
      <c r="J16" s="4">
        <f t="shared" si="2"/>
        <v>0</v>
      </c>
      <c r="K16" s="38">
        <v>0</v>
      </c>
      <c r="L16" s="4">
        <f>0/4</f>
        <v>0</v>
      </c>
      <c r="M16" s="38">
        <f>0/4</f>
        <v>0</v>
      </c>
      <c r="N16" s="4">
        <v>0</v>
      </c>
      <c r="O16" s="4">
        <v>0</v>
      </c>
      <c r="P16" s="4">
        <v>0</v>
      </c>
      <c r="Q16" s="4">
        <v>0</v>
      </c>
      <c r="R16" s="169" t="s">
        <v>23</v>
      </c>
    </row>
    <row r="17" spans="1:18" ht="25.2">
      <c r="A17" s="3">
        <v>24</v>
      </c>
      <c r="B17" s="161"/>
      <c r="C17" s="4">
        <v>1</v>
      </c>
      <c r="D17" s="165"/>
      <c r="E17" s="165"/>
      <c r="F17" s="4">
        <v>0</v>
      </c>
      <c r="G17" s="165"/>
      <c r="H17" s="4">
        <v>0.9</v>
      </c>
      <c r="I17" s="4">
        <v>0</v>
      </c>
      <c r="J17" s="4">
        <f t="shared" si="2"/>
        <v>0</v>
      </c>
      <c r="K17" s="38">
        <v>0</v>
      </c>
      <c r="L17" s="4">
        <f>0/4</f>
        <v>0</v>
      </c>
      <c r="M17" s="38">
        <f>0/4</f>
        <v>0</v>
      </c>
      <c r="N17" s="4">
        <v>0</v>
      </c>
      <c r="O17" s="4">
        <v>0</v>
      </c>
      <c r="P17" s="4">
        <v>0</v>
      </c>
      <c r="Q17" s="4">
        <v>0</v>
      </c>
      <c r="R17" s="169"/>
    </row>
    <row r="18" spans="1:18" ht="25.2">
      <c r="A18" s="3">
        <v>25</v>
      </c>
      <c r="B18" s="161"/>
      <c r="C18" s="4">
        <v>1</v>
      </c>
      <c r="D18" s="165"/>
      <c r="E18" s="165"/>
      <c r="F18" s="4">
        <v>0</v>
      </c>
      <c r="G18" s="165"/>
      <c r="H18" s="4">
        <v>0.9</v>
      </c>
      <c r="I18" s="4">
        <v>0</v>
      </c>
      <c r="J18" s="4">
        <f t="shared" si="2"/>
        <v>0</v>
      </c>
      <c r="K18" s="38">
        <v>0</v>
      </c>
      <c r="L18" s="4">
        <f>0/4</f>
        <v>0</v>
      </c>
      <c r="M18" s="123">
        <f>4/4</f>
        <v>1</v>
      </c>
      <c r="N18" s="4">
        <v>0</v>
      </c>
      <c r="O18" s="4">
        <v>0</v>
      </c>
      <c r="P18" s="4">
        <v>0</v>
      </c>
      <c r="Q18" s="4">
        <v>0</v>
      </c>
      <c r="R18" s="169"/>
    </row>
    <row r="19" spans="1:18" ht="25.2">
      <c r="A19" s="3">
        <v>26</v>
      </c>
      <c r="B19" s="161"/>
      <c r="C19" s="4">
        <v>1</v>
      </c>
      <c r="D19" s="165"/>
      <c r="E19" s="165"/>
      <c r="F19" s="4">
        <v>0</v>
      </c>
      <c r="G19" s="165"/>
      <c r="H19" s="4">
        <v>0.9</v>
      </c>
      <c r="I19" s="4">
        <v>0</v>
      </c>
      <c r="J19" s="4">
        <f t="shared" si="2"/>
        <v>0</v>
      </c>
      <c r="K19" s="38">
        <v>0</v>
      </c>
      <c r="L19" s="4">
        <f>3.2/4</f>
        <v>0.8</v>
      </c>
      <c r="M19" s="38">
        <f>0/4</f>
        <v>0</v>
      </c>
      <c r="N19" s="4">
        <v>0</v>
      </c>
      <c r="O19" s="4">
        <v>0</v>
      </c>
      <c r="P19" s="4">
        <v>0</v>
      </c>
      <c r="Q19" s="4">
        <v>0</v>
      </c>
      <c r="R19" s="169"/>
    </row>
    <row r="20" spans="1:18" ht="25.2">
      <c r="A20" s="3">
        <v>27</v>
      </c>
      <c r="B20" s="161"/>
      <c r="C20" s="4">
        <v>1</v>
      </c>
      <c r="D20" s="165"/>
      <c r="E20" s="165"/>
      <c r="F20" s="4">
        <v>0</v>
      </c>
      <c r="G20" s="165"/>
      <c r="H20" s="4">
        <v>0.9</v>
      </c>
      <c r="I20" s="4">
        <v>0</v>
      </c>
      <c r="J20" s="4">
        <f t="shared" si="2"/>
        <v>0</v>
      </c>
      <c r="K20" s="38">
        <v>0</v>
      </c>
      <c r="L20" s="4">
        <f t="shared" ref="L20:L26" si="3">0/4</f>
        <v>0</v>
      </c>
      <c r="M20" s="123">
        <f>4/4</f>
        <v>1</v>
      </c>
      <c r="N20" s="4">
        <v>0</v>
      </c>
      <c r="O20" s="4">
        <v>0</v>
      </c>
      <c r="P20" s="4">
        <v>0</v>
      </c>
      <c r="Q20" s="4">
        <v>0</v>
      </c>
      <c r="R20" s="169"/>
    </row>
    <row r="21" spans="1:18" ht="25.2">
      <c r="A21" s="3">
        <v>28</v>
      </c>
      <c r="B21" s="161"/>
      <c r="C21" s="4">
        <v>1</v>
      </c>
      <c r="D21" s="165"/>
      <c r="E21" s="165"/>
      <c r="F21" s="4">
        <v>0</v>
      </c>
      <c r="G21" s="165"/>
      <c r="H21" s="4">
        <v>0.9</v>
      </c>
      <c r="I21" s="4">
        <v>0</v>
      </c>
      <c r="J21" s="4">
        <f t="shared" si="2"/>
        <v>0</v>
      </c>
      <c r="K21" s="38">
        <v>0</v>
      </c>
      <c r="L21" s="4">
        <f t="shared" si="3"/>
        <v>0</v>
      </c>
      <c r="M21" s="38">
        <f t="shared" ref="M21:M26" si="4">0/4</f>
        <v>0</v>
      </c>
      <c r="N21" s="4">
        <v>0</v>
      </c>
      <c r="O21" s="4">
        <v>0</v>
      </c>
      <c r="P21" s="4">
        <v>0</v>
      </c>
      <c r="Q21" s="4">
        <v>0</v>
      </c>
      <c r="R21" s="169"/>
    </row>
    <row r="22" spans="1:18" ht="25.2">
      <c r="A22" s="3">
        <v>29</v>
      </c>
      <c r="B22" s="161"/>
      <c r="C22" s="4">
        <v>1</v>
      </c>
      <c r="D22" s="165"/>
      <c r="E22" s="165"/>
      <c r="F22" s="4">
        <v>0</v>
      </c>
      <c r="G22" s="165"/>
      <c r="H22" s="4">
        <v>0.9</v>
      </c>
      <c r="I22" s="4">
        <v>0</v>
      </c>
      <c r="J22" s="4">
        <f t="shared" si="2"/>
        <v>0</v>
      </c>
      <c r="K22" s="38">
        <v>0</v>
      </c>
      <c r="L22" s="4">
        <f t="shared" si="3"/>
        <v>0</v>
      </c>
      <c r="M22" s="38">
        <f t="shared" si="4"/>
        <v>0</v>
      </c>
      <c r="N22" s="4">
        <v>0</v>
      </c>
      <c r="O22" s="4">
        <v>0</v>
      </c>
      <c r="P22" s="4">
        <v>0</v>
      </c>
      <c r="Q22" s="4">
        <v>0</v>
      </c>
      <c r="R22" s="169"/>
    </row>
    <row r="23" spans="1:18" ht="25.2">
      <c r="A23" s="3">
        <v>30</v>
      </c>
      <c r="B23" s="161"/>
      <c r="C23" s="4">
        <v>1</v>
      </c>
      <c r="D23" s="166"/>
      <c r="E23" s="166"/>
      <c r="F23" s="4">
        <v>0</v>
      </c>
      <c r="G23" s="166"/>
      <c r="H23" s="4">
        <v>0</v>
      </c>
      <c r="I23" s="4">
        <v>0</v>
      </c>
      <c r="J23" s="4">
        <f t="shared" si="2"/>
        <v>0</v>
      </c>
      <c r="K23" s="38">
        <v>0</v>
      </c>
      <c r="L23" s="4">
        <f t="shared" si="3"/>
        <v>0</v>
      </c>
      <c r="M23" s="38">
        <f t="shared" si="4"/>
        <v>0</v>
      </c>
      <c r="N23" s="4">
        <v>0</v>
      </c>
      <c r="O23" s="4">
        <v>0</v>
      </c>
      <c r="P23" s="4">
        <v>0</v>
      </c>
      <c r="Q23" s="4">
        <v>0</v>
      </c>
      <c r="R23" s="169"/>
    </row>
    <row r="24" spans="1:18" ht="25.2">
      <c r="A24" s="3">
        <v>31</v>
      </c>
      <c r="B24" s="161"/>
      <c r="C24" s="4">
        <v>0.55000000000000004</v>
      </c>
      <c r="D24" s="4">
        <v>0.9</v>
      </c>
      <c r="E24" s="4">
        <v>0.9</v>
      </c>
      <c r="F24" s="4">
        <v>0</v>
      </c>
      <c r="G24" s="4">
        <v>0</v>
      </c>
      <c r="H24" s="4">
        <v>0</v>
      </c>
      <c r="I24" s="4">
        <v>0</v>
      </c>
      <c r="J24" s="4">
        <f t="shared" si="2"/>
        <v>0</v>
      </c>
      <c r="K24" s="38">
        <v>0</v>
      </c>
      <c r="L24" s="4">
        <f t="shared" si="3"/>
        <v>0</v>
      </c>
      <c r="M24" s="38">
        <f t="shared" si="4"/>
        <v>0</v>
      </c>
      <c r="N24" s="4">
        <v>0</v>
      </c>
      <c r="O24" s="4">
        <v>0</v>
      </c>
      <c r="P24" s="4">
        <v>0</v>
      </c>
      <c r="Q24" s="4">
        <v>0</v>
      </c>
      <c r="R24" s="169"/>
    </row>
    <row r="25" spans="1:18" ht="50.4" customHeight="1" thickBot="1">
      <c r="A25" s="6" t="s">
        <v>24</v>
      </c>
      <c r="B25" s="162"/>
      <c r="C25" s="7">
        <v>0.1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f t="shared" si="2"/>
        <v>0</v>
      </c>
      <c r="K25" s="39">
        <v>0</v>
      </c>
      <c r="L25" s="7">
        <f t="shared" si="3"/>
        <v>0</v>
      </c>
      <c r="M25" s="39">
        <f t="shared" si="4"/>
        <v>0</v>
      </c>
      <c r="N25" s="7">
        <v>0</v>
      </c>
      <c r="O25" s="7">
        <v>0</v>
      </c>
      <c r="P25" s="7">
        <v>0</v>
      </c>
      <c r="Q25" s="7">
        <v>0</v>
      </c>
      <c r="R25" s="8">
        <v>0</v>
      </c>
    </row>
    <row r="26" spans="1:18" ht="25.2" customHeight="1" thickBot="1">
      <c r="A26" s="9">
        <v>13</v>
      </c>
      <c r="B26" s="163" t="s">
        <v>25</v>
      </c>
      <c r="C26" s="10">
        <v>1</v>
      </c>
      <c r="D26" s="167" t="s">
        <v>23</v>
      </c>
      <c r="E26" s="167" t="s">
        <v>23</v>
      </c>
      <c r="F26" s="10">
        <v>1</v>
      </c>
      <c r="G26" s="167" t="s">
        <v>23</v>
      </c>
      <c r="H26" s="10">
        <v>0</v>
      </c>
      <c r="I26" s="10">
        <v>0</v>
      </c>
      <c r="J26" s="10">
        <f>0.6/6</f>
        <v>9.9999999999999992E-2</v>
      </c>
      <c r="K26" s="40">
        <v>0</v>
      </c>
      <c r="L26" s="10">
        <f t="shared" si="3"/>
        <v>0</v>
      </c>
      <c r="M26" s="40">
        <f t="shared" si="4"/>
        <v>0</v>
      </c>
      <c r="N26" s="10">
        <v>0</v>
      </c>
      <c r="O26" s="10">
        <v>1</v>
      </c>
      <c r="P26" s="10">
        <v>0.9</v>
      </c>
      <c r="Q26" s="10">
        <v>0</v>
      </c>
      <c r="R26" s="170" t="s">
        <v>23</v>
      </c>
    </row>
    <row r="27" spans="1:18" ht="25.8" thickBot="1">
      <c r="A27" s="3">
        <v>14</v>
      </c>
      <c r="B27" s="161"/>
      <c r="C27" s="4">
        <v>1</v>
      </c>
      <c r="D27" s="165"/>
      <c r="E27" s="165"/>
      <c r="F27" s="10">
        <v>1</v>
      </c>
      <c r="G27" s="165"/>
      <c r="H27" s="4">
        <v>0.9</v>
      </c>
      <c r="I27" s="4">
        <v>1</v>
      </c>
      <c r="J27" s="4">
        <f t="shared" ref="J27:J33" si="5">6/6</f>
        <v>1</v>
      </c>
      <c r="K27" s="38">
        <v>1</v>
      </c>
      <c r="L27" s="4">
        <f t="shared" ref="L27:M32" si="6">4/4</f>
        <v>1</v>
      </c>
      <c r="M27" s="38">
        <f t="shared" si="6"/>
        <v>1</v>
      </c>
      <c r="N27" s="4">
        <v>1</v>
      </c>
      <c r="O27" s="4">
        <v>1</v>
      </c>
      <c r="P27" s="4">
        <v>0</v>
      </c>
      <c r="Q27" s="4">
        <v>0</v>
      </c>
      <c r="R27" s="169"/>
    </row>
    <row r="28" spans="1:18" ht="25.8" thickBot="1">
      <c r="A28" s="3">
        <v>15</v>
      </c>
      <c r="B28" s="161"/>
      <c r="C28" s="4">
        <v>1</v>
      </c>
      <c r="D28" s="165"/>
      <c r="E28" s="165"/>
      <c r="F28" s="10">
        <v>1</v>
      </c>
      <c r="G28" s="165"/>
      <c r="H28" s="4">
        <v>0.9</v>
      </c>
      <c r="I28" s="4">
        <v>1</v>
      </c>
      <c r="J28" s="4">
        <f t="shared" si="5"/>
        <v>1</v>
      </c>
      <c r="K28" s="38">
        <v>1</v>
      </c>
      <c r="L28" s="4">
        <f t="shared" si="6"/>
        <v>1</v>
      </c>
      <c r="M28" s="38">
        <f t="shared" si="6"/>
        <v>1</v>
      </c>
      <c r="N28" s="4">
        <v>1</v>
      </c>
      <c r="O28" s="4">
        <v>1</v>
      </c>
      <c r="P28" s="4">
        <v>0</v>
      </c>
      <c r="Q28" s="4">
        <v>0</v>
      </c>
      <c r="R28" s="169"/>
    </row>
    <row r="29" spans="1:18" ht="25.8" thickBot="1">
      <c r="A29" s="3">
        <v>16</v>
      </c>
      <c r="B29" s="161"/>
      <c r="C29" s="4">
        <v>1</v>
      </c>
      <c r="D29" s="165"/>
      <c r="E29" s="165"/>
      <c r="F29" s="10">
        <v>1</v>
      </c>
      <c r="G29" s="165"/>
      <c r="H29" s="4">
        <v>0.9</v>
      </c>
      <c r="I29" s="4">
        <v>0.1</v>
      </c>
      <c r="J29" s="4">
        <f t="shared" si="5"/>
        <v>1</v>
      </c>
      <c r="K29" s="38">
        <v>1</v>
      </c>
      <c r="L29" s="4">
        <f t="shared" si="6"/>
        <v>1</v>
      </c>
      <c r="M29" s="38">
        <f t="shared" si="6"/>
        <v>1</v>
      </c>
      <c r="N29" s="4">
        <v>0</v>
      </c>
      <c r="O29" s="4">
        <v>1</v>
      </c>
      <c r="P29" s="4">
        <v>0</v>
      </c>
      <c r="Q29" s="4">
        <v>0</v>
      </c>
      <c r="R29" s="169"/>
    </row>
    <row r="30" spans="1:18" ht="25.8" thickBot="1">
      <c r="A30" s="3">
        <v>17</v>
      </c>
      <c r="B30" s="161"/>
      <c r="C30" s="4">
        <v>1</v>
      </c>
      <c r="D30" s="165"/>
      <c r="E30" s="165"/>
      <c r="F30" s="10">
        <v>1</v>
      </c>
      <c r="G30" s="165"/>
      <c r="H30" s="4">
        <v>0.9</v>
      </c>
      <c r="I30" s="4">
        <v>0</v>
      </c>
      <c r="J30" s="4">
        <f t="shared" si="5"/>
        <v>1</v>
      </c>
      <c r="K30" s="38">
        <v>1</v>
      </c>
      <c r="L30" s="4">
        <f t="shared" si="6"/>
        <v>1</v>
      </c>
      <c r="M30" s="38">
        <f t="shared" si="6"/>
        <v>1</v>
      </c>
      <c r="N30" s="4">
        <v>0</v>
      </c>
      <c r="O30" s="4">
        <v>1</v>
      </c>
      <c r="P30" s="4">
        <v>0</v>
      </c>
      <c r="Q30" s="4">
        <v>0</v>
      </c>
      <c r="R30" s="169"/>
    </row>
    <row r="31" spans="1:18" ht="25.8" thickBot="1">
      <c r="A31" s="3">
        <v>18</v>
      </c>
      <c r="B31" s="161"/>
      <c r="C31" s="4">
        <v>1</v>
      </c>
      <c r="D31" s="165"/>
      <c r="E31" s="165"/>
      <c r="F31" s="10">
        <v>1</v>
      </c>
      <c r="G31" s="165"/>
      <c r="H31" s="4">
        <v>0.9</v>
      </c>
      <c r="I31" s="4">
        <v>0</v>
      </c>
      <c r="J31" s="4">
        <f t="shared" si="5"/>
        <v>1</v>
      </c>
      <c r="K31" s="38">
        <v>1</v>
      </c>
      <c r="L31" s="4">
        <f t="shared" si="6"/>
        <v>1</v>
      </c>
      <c r="M31" s="38">
        <f t="shared" si="6"/>
        <v>1</v>
      </c>
      <c r="N31" s="4">
        <v>0</v>
      </c>
      <c r="O31" s="4">
        <v>0.5</v>
      </c>
      <c r="P31" s="4">
        <v>0</v>
      </c>
      <c r="Q31" s="4">
        <v>0</v>
      </c>
      <c r="R31" s="169"/>
    </row>
    <row r="32" spans="1:18" ht="25.8" thickBot="1">
      <c r="A32" s="3">
        <v>19</v>
      </c>
      <c r="B32" s="161"/>
      <c r="C32" s="4">
        <v>1</v>
      </c>
      <c r="D32" s="165"/>
      <c r="E32" s="165"/>
      <c r="F32" s="10">
        <v>1</v>
      </c>
      <c r="G32" s="165"/>
      <c r="H32" s="4">
        <v>0.9</v>
      </c>
      <c r="I32" s="4">
        <v>0</v>
      </c>
      <c r="J32" s="4">
        <f t="shared" si="5"/>
        <v>1</v>
      </c>
      <c r="K32" s="38">
        <v>1</v>
      </c>
      <c r="L32" s="4">
        <f t="shared" si="6"/>
        <v>1</v>
      </c>
      <c r="M32" s="38">
        <f t="shared" si="6"/>
        <v>1</v>
      </c>
      <c r="N32" s="4">
        <v>0</v>
      </c>
      <c r="O32" s="4">
        <v>0</v>
      </c>
      <c r="P32" s="4">
        <v>0</v>
      </c>
      <c r="Q32" s="4">
        <v>0</v>
      </c>
      <c r="R32" s="169"/>
    </row>
    <row r="33" spans="1:18" ht="25.2">
      <c r="A33" s="3">
        <v>20</v>
      </c>
      <c r="B33" s="161"/>
      <c r="C33" s="4">
        <v>1</v>
      </c>
      <c r="D33" s="165"/>
      <c r="E33" s="165"/>
      <c r="F33" s="10">
        <v>1</v>
      </c>
      <c r="G33" s="165"/>
      <c r="H33" s="4">
        <v>0.9</v>
      </c>
      <c r="I33" s="4">
        <v>0</v>
      </c>
      <c r="J33" s="4">
        <f t="shared" si="5"/>
        <v>1</v>
      </c>
      <c r="K33" s="38">
        <v>0.5</v>
      </c>
      <c r="L33" s="4">
        <f>0/4</f>
        <v>0</v>
      </c>
      <c r="M33" s="38">
        <f>4/4</f>
        <v>1</v>
      </c>
      <c r="N33" s="4">
        <v>0</v>
      </c>
      <c r="O33" s="4">
        <v>0</v>
      </c>
      <c r="P33" s="4">
        <v>0</v>
      </c>
      <c r="Q33" s="4">
        <v>0</v>
      </c>
      <c r="R33" s="169"/>
    </row>
    <row r="34" spans="1:18" ht="25.2">
      <c r="A34" s="3">
        <v>21</v>
      </c>
      <c r="B34" s="161"/>
      <c r="C34" s="4">
        <v>1</v>
      </c>
      <c r="D34" s="165"/>
      <c r="E34" s="165"/>
      <c r="F34" s="4">
        <v>1</v>
      </c>
      <c r="G34" s="165"/>
      <c r="H34" s="4">
        <v>0.9</v>
      </c>
      <c r="I34" s="4">
        <v>0</v>
      </c>
      <c r="J34" s="4">
        <f t="shared" ref="J34:J45" si="7">0/6</f>
        <v>0</v>
      </c>
      <c r="K34" s="38">
        <v>0</v>
      </c>
      <c r="L34" s="4">
        <f>0/4</f>
        <v>0</v>
      </c>
      <c r="M34" s="38">
        <f>4/4</f>
        <v>1</v>
      </c>
      <c r="N34" s="4">
        <v>0</v>
      </c>
      <c r="O34" s="4">
        <v>0</v>
      </c>
      <c r="P34" s="4">
        <v>0</v>
      </c>
      <c r="Q34" s="4">
        <v>0</v>
      </c>
      <c r="R34" s="169"/>
    </row>
    <row r="35" spans="1:18" ht="25.2">
      <c r="A35" s="3">
        <v>22</v>
      </c>
      <c r="B35" s="161"/>
      <c r="C35" s="4">
        <v>1</v>
      </c>
      <c r="D35" s="165"/>
      <c r="E35" s="165"/>
      <c r="F35" s="4">
        <v>0</v>
      </c>
      <c r="G35" s="165"/>
      <c r="H35" s="4">
        <v>0.9</v>
      </c>
      <c r="I35" s="4">
        <v>0</v>
      </c>
      <c r="J35" s="4">
        <f t="shared" si="7"/>
        <v>0</v>
      </c>
      <c r="K35" s="38">
        <v>0</v>
      </c>
      <c r="L35" s="4">
        <f>4/4</f>
        <v>1</v>
      </c>
      <c r="M35" s="38">
        <f>4/4</f>
        <v>1</v>
      </c>
      <c r="N35" s="4">
        <v>0</v>
      </c>
      <c r="O35" s="4">
        <v>0</v>
      </c>
      <c r="P35" s="4">
        <v>0</v>
      </c>
      <c r="Q35" s="4">
        <v>0</v>
      </c>
      <c r="R35" s="5">
        <v>0</v>
      </c>
    </row>
    <row r="36" spans="1:18" ht="25.2">
      <c r="A36" s="3">
        <v>23</v>
      </c>
      <c r="B36" s="161"/>
      <c r="C36" s="4">
        <v>1</v>
      </c>
      <c r="D36" s="165"/>
      <c r="E36" s="165"/>
      <c r="F36" s="4">
        <v>0</v>
      </c>
      <c r="G36" s="165"/>
      <c r="H36" s="4">
        <v>0.9</v>
      </c>
      <c r="I36" s="4">
        <v>0</v>
      </c>
      <c r="J36" s="4">
        <f t="shared" si="7"/>
        <v>0</v>
      </c>
      <c r="K36" s="38">
        <v>0</v>
      </c>
      <c r="L36" s="4">
        <f t="shared" ref="L36:M38" si="8">0/4</f>
        <v>0</v>
      </c>
      <c r="M36" s="38">
        <f t="shared" si="8"/>
        <v>0</v>
      </c>
      <c r="N36" s="4">
        <v>0</v>
      </c>
      <c r="O36" s="4">
        <v>0</v>
      </c>
      <c r="P36" s="4">
        <v>0</v>
      </c>
      <c r="Q36" s="4">
        <v>0</v>
      </c>
      <c r="R36" s="169" t="s">
        <v>23</v>
      </c>
    </row>
    <row r="37" spans="1:18" ht="25.2">
      <c r="A37" s="3">
        <v>24</v>
      </c>
      <c r="B37" s="161"/>
      <c r="C37" s="4">
        <v>1</v>
      </c>
      <c r="D37" s="165"/>
      <c r="E37" s="165"/>
      <c r="F37" s="4">
        <v>0</v>
      </c>
      <c r="G37" s="165"/>
      <c r="H37" s="4">
        <v>0.9</v>
      </c>
      <c r="I37" s="4">
        <v>0</v>
      </c>
      <c r="J37" s="4">
        <f t="shared" si="7"/>
        <v>0</v>
      </c>
      <c r="K37" s="38">
        <v>0</v>
      </c>
      <c r="L37" s="4">
        <f t="shared" si="8"/>
        <v>0</v>
      </c>
      <c r="M37" s="38">
        <f t="shared" si="8"/>
        <v>0</v>
      </c>
      <c r="N37" s="4">
        <v>0</v>
      </c>
      <c r="O37" s="4">
        <v>0</v>
      </c>
      <c r="P37" s="4">
        <v>0</v>
      </c>
      <c r="Q37" s="4">
        <v>0</v>
      </c>
      <c r="R37" s="169"/>
    </row>
    <row r="38" spans="1:18" ht="25.2">
      <c r="A38" s="3">
        <v>25</v>
      </c>
      <c r="B38" s="161"/>
      <c r="C38" s="4">
        <v>1</v>
      </c>
      <c r="D38" s="165"/>
      <c r="E38" s="165"/>
      <c r="F38" s="4">
        <v>0</v>
      </c>
      <c r="G38" s="165"/>
      <c r="H38" s="4">
        <v>0.9</v>
      </c>
      <c r="I38" s="4">
        <v>0</v>
      </c>
      <c r="J38" s="4">
        <f t="shared" si="7"/>
        <v>0</v>
      </c>
      <c r="K38" s="38">
        <v>0</v>
      </c>
      <c r="L38" s="4">
        <f t="shared" si="8"/>
        <v>0</v>
      </c>
      <c r="M38" s="38">
        <f t="shared" si="8"/>
        <v>0</v>
      </c>
      <c r="N38" s="4">
        <v>0</v>
      </c>
      <c r="O38" s="4">
        <v>0</v>
      </c>
      <c r="P38" s="4">
        <v>0</v>
      </c>
      <c r="Q38" s="4">
        <v>0</v>
      </c>
      <c r="R38" s="169"/>
    </row>
    <row r="39" spans="1:18" ht="25.2">
      <c r="A39" s="3">
        <v>26</v>
      </c>
      <c r="B39" s="161"/>
      <c r="C39" s="4">
        <v>1</v>
      </c>
      <c r="D39" s="165"/>
      <c r="E39" s="165"/>
      <c r="F39" s="4">
        <v>0</v>
      </c>
      <c r="G39" s="165"/>
      <c r="H39" s="4">
        <v>0.9</v>
      </c>
      <c r="I39" s="4">
        <v>0</v>
      </c>
      <c r="J39" s="4">
        <f t="shared" si="7"/>
        <v>0</v>
      </c>
      <c r="K39" s="38">
        <v>0</v>
      </c>
      <c r="L39" s="4">
        <f>3.2/4</f>
        <v>0.8</v>
      </c>
      <c r="M39" s="38">
        <f t="shared" ref="M39:M45" si="9">0/4</f>
        <v>0</v>
      </c>
      <c r="N39" s="4">
        <v>0</v>
      </c>
      <c r="O39" s="4">
        <v>0</v>
      </c>
      <c r="P39" s="4">
        <v>0</v>
      </c>
      <c r="Q39" s="4">
        <v>0</v>
      </c>
      <c r="R39" s="169"/>
    </row>
    <row r="40" spans="1:18" ht="25.2">
      <c r="A40" s="3">
        <v>27</v>
      </c>
      <c r="B40" s="161"/>
      <c r="C40" s="4">
        <v>1</v>
      </c>
      <c r="D40" s="165"/>
      <c r="E40" s="165"/>
      <c r="F40" s="4">
        <v>0</v>
      </c>
      <c r="G40" s="165"/>
      <c r="H40" s="4">
        <v>0.9</v>
      </c>
      <c r="I40" s="4">
        <v>0</v>
      </c>
      <c r="J40" s="4">
        <f t="shared" si="7"/>
        <v>0</v>
      </c>
      <c r="K40" s="38">
        <v>0</v>
      </c>
      <c r="L40" s="4">
        <f t="shared" ref="L40:L45" si="10">0/4</f>
        <v>0</v>
      </c>
      <c r="M40" s="38">
        <f t="shared" si="9"/>
        <v>0</v>
      </c>
      <c r="N40" s="4">
        <v>0</v>
      </c>
      <c r="O40" s="4">
        <v>0</v>
      </c>
      <c r="P40" s="4">
        <v>0</v>
      </c>
      <c r="Q40" s="4">
        <v>0</v>
      </c>
      <c r="R40" s="169"/>
    </row>
    <row r="41" spans="1:18" ht="25.2">
      <c r="A41" s="3">
        <v>28</v>
      </c>
      <c r="B41" s="161"/>
      <c r="C41" s="4">
        <v>1</v>
      </c>
      <c r="D41" s="165"/>
      <c r="E41" s="165"/>
      <c r="F41" s="4">
        <v>0</v>
      </c>
      <c r="G41" s="165"/>
      <c r="H41" s="4">
        <v>0.9</v>
      </c>
      <c r="I41" s="4">
        <v>0</v>
      </c>
      <c r="J41" s="4">
        <f t="shared" si="7"/>
        <v>0</v>
      </c>
      <c r="K41" s="38">
        <v>0</v>
      </c>
      <c r="L41" s="4">
        <f t="shared" si="10"/>
        <v>0</v>
      </c>
      <c r="M41" s="38">
        <f t="shared" si="9"/>
        <v>0</v>
      </c>
      <c r="N41" s="4">
        <v>0</v>
      </c>
      <c r="O41" s="4">
        <v>0</v>
      </c>
      <c r="P41" s="4">
        <v>0</v>
      </c>
      <c r="Q41" s="4">
        <v>0</v>
      </c>
      <c r="R41" s="169"/>
    </row>
    <row r="42" spans="1:18" ht="25.2">
      <c r="A42" s="3">
        <v>29</v>
      </c>
      <c r="B42" s="161"/>
      <c r="C42" s="4">
        <v>1</v>
      </c>
      <c r="D42" s="165"/>
      <c r="E42" s="165"/>
      <c r="F42" s="4">
        <v>0</v>
      </c>
      <c r="G42" s="165"/>
      <c r="H42" s="4">
        <v>0</v>
      </c>
      <c r="I42" s="4">
        <v>0</v>
      </c>
      <c r="J42" s="4">
        <f t="shared" si="7"/>
        <v>0</v>
      </c>
      <c r="K42" s="38">
        <v>0</v>
      </c>
      <c r="L42" s="4">
        <f t="shared" si="10"/>
        <v>0</v>
      </c>
      <c r="M42" s="38">
        <f t="shared" si="9"/>
        <v>0</v>
      </c>
      <c r="N42" s="4">
        <v>0</v>
      </c>
      <c r="O42" s="4">
        <v>0</v>
      </c>
      <c r="P42" s="4">
        <v>0</v>
      </c>
      <c r="Q42" s="4">
        <v>0</v>
      </c>
      <c r="R42" s="169"/>
    </row>
    <row r="43" spans="1:18" ht="25.2">
      <c r="A43" s="3">
        <v>30</v>
      </c>
      <c r="B43" s="161"/>
      <c r="C43" s="4">
        <v>1</v>
      </c>
      <c r="D43" s="166"/>
      <c r="E43" s="166"/>
      <c r="F43" s="4">
        <v>0</v>
      </c>
      <c r="G43" s="166"/>
      <c r="H43" s="4">
        <v>0</v>
      </c>
      <c r="I43" s="4">
        <v>0</v>
      </c>
      <c r="J43" s="4">
        <f t="shared" si="7"/>
        <v>0</v>
      </c>
      <c r="K43" s="38">
        <v>0</v>
      </c>
      <c r="L43" s="4">
        <f t="shared" si="10"/>
        <v>0</v>
      </c>
      <c r="M43" s="38">
        <f t="shared" si="9"/>
        <v>0</v>
      </c>
      <c r="N43" s="4">
        <v>0</v>
      </c>
      <c r="O43" s="4">
        <v>0</v>
      </c>
      <c r="P43" s="4">
        <v>0</v>
      </c>
      <c r="Q43" s="4">
        <v>0</v>
      </c>
      <c r="R43" s="169"/>
    </row>
    <row r="44" spans="1:18" ht="25.2">
      <c r="A44" s="3">
        <v>31</v>
      </c>
      <c r="B44" s="161"/>
      <c r="C44" s="4">
        <v>0.5</v>
      </c>
      <c r="D44" s="4">
        <v>0.9</v>
      </c>
      <c r="E44" s="4">
        <v>0.9</v>
      </c>
      <c r="F44" s="4">
        <v>0</v>
      </c>
      <c r="G44" s="4">
        <v>0</v>
      </c>
      <c r="H44" s="4">
        <v>0</v>
      </c>
      <c r="I44" s="4">
        <v>0</v>
      </c>
      <c r="J44" s="4">
        <f t="shared" si="7"/>
        <v>0</v>
      </c>
      <c r="K44" s="38">
        <v>0</v>
      </c>
      <c r="L44" s="4">
        <f t="shared" si="10"/>
        <v>0</v>
      </c>
      <c r="M44" s="38">
        <f t="shared" si="9"/>
        <v>0</v>
      </c>
      <c r="N44" s="4">
        <v>0</v>
      </c>
      <c r="O44" s="4">
        <v>0</v>
      </c>
      <c r="P44" s="4">
        <v>0</v>
      </c>
      <c r="Q44" s="4">
        <v>0</v>
      </c>
      <c r="R44" s="169"/>
    </row>
    <row r="45" spans="1:18" ht="50.4" customHeight="1" thickBot="1">
      <c r="A45" s="6" t="s">
        <v>24</v>
      </c>
      <c r="B45" s="162"/>
      <c r="C45" s="7">
        <v>0.1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f t="shared" si="7"/>
        <v>0</v>
      </c>
      <c r="K45" s="39">
        <v>0</v>
      </c>
      <c r="L45" s="7">
        <f t="shared" si="10"/>
        <v>0</v>
      </c>
      <c r="M45" s="39">
        <f t="shared" si="9"/>
        <v>0</v>
      </c>
      <c r="N45" s="7">
        <v>0</v>
      </c>
      <c r="O45" s="7">
        <v>0</v>
      </c>
      <c r="P45" s="7">
        <v>0</v>
      </c>
      <c r="Q45" s="7">
        <v>0</v>
      </c>
      <c r="R45" s="8">
        <v>0</v>
      </c>
    </row>
    <row r="46" spans="1:18" ht="25.2">
      <c r="A46" s="11"/>
      <c r="B46" s="11"/>
      <c r="C46" s="12">
        <f t="shared" ref="C46:R46" si="11">AVERAGE(C6:C45)</f>
        <v>0.93125000000000013</v>
      </c>
      <c r="D46" s="12">
        <f t="shared" si="11"/>
        <v>0.45</v>
      </c>
      <c r="E46" s="12">
        <f t="shared" si="11"/>
        <v>0.45</v>
      </c>
      <c r="F46" s="12">
        <f t="shared" si="11"/>
        <v>0.45</v>
      </c>
      <c r="G46" s="12">
        <f t="shared" si="11"/>
        <v>0</v>
      </c>
      <c r="H46" s="12">
        <f t="shared" si="11"/>
        <v>0.69749999999999956</v>
      </c>
      <c r="I46" s="12">
        <f t="shared" si="11"/>
        <v>0.10499999999999998</v>
      </c>
      <c r="J46" s="12">
        <f t="shared" si="11"/>
        <v>0.35499999999999998</v>
      </c>
      <c r="K46" s="41">
        <f t="shared" si="11"/>
        <v>0.32500000000000001</v>
      </c>
      <c r="L46" s="12">
        <f t="shared" si="11"/>
        <v>0.39</v>
      </c>
      <c r="M46" s="41">
        <f t="shared" si="11"/>
        <v>0.5</v>
      </c>
      <c r="N46" s="12">
        <f t="shared" si="11"/>
        <v>0.1125</v>
      </c>
      <c r="O46" s="12">
        <f t="shared" si="11"/>
        <v>0.27500000000000002</v>
      </c>
      <c r="P46" s="12">
        <f t="shared" si="11"/>
        <v>4.4999999999999998E-2</v>
      </c>
      <c r="Q46" s="12">
        <f t="shared" si="11"/>
        <v>0</v>
      </c>
      <c r="R46" s="12">
        <f t="shared" si="11"/>
        <v>0</v>
      </c>
    </row>
  </sheetData>
  <mergeCells count="23">
    <mergeCell ref="O4:P4"/>
    <mergeCell ref="Q4:R4"/>
    <mergeCell ref="E6:E23"/>
    <mergeCell ref="E26:E43"/>
    <mergeCell ref="G6:G23"/>
    <mergeCell ref="G26:G43"/>
    <mergeCell ref="R1:R3"/>
    <mergeCell ref="R6:R14"/>
    <mergeCell ref="R16:R24"/>
    <mergeCell ref="R26:R34"/>
    <mergeCell ref="R36:R44"/>
    <mergeCell ref="A1:Q1"/>
    <mergeCell ref="A2:Q2"/>
    <mergeCell ref="A3:Q3"/>
    <mergeCell ref="C4:F4"/>
    <mergeCell ref="G4:I4"/>
    <mergeCell ref="J4:K4"/>
    <mergeCell ref="L4:N4"/>
    <mergeCell ref="A4:B5"/>
    <mergeCell ref="B6:B25"/>
    <mergeCell ref="B26:B45"/>
    <mergeCell ref="D6:D23"/>
    <mergeCell ref="D26:D43"/>
  </mergeCells>
  <conditionalFormatting sqref="C6:C25 F6:R6 F24:M25 H26:H35 J34:L35 H36:L43 F33:F43 F44:L45 C45 N7:Q14 N25:R25 N34:Q44 N45:R45 N15:R16 N17:Q24 H7:M23 L6:L25 L36:L45 F7:F23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{3B394AC6-2E33-4111-9224-3A1DE849EBEE}</x14:id>
        </ext>
      </extLst>
    </cfRule>
  </conditionalFormatting>
  <conditionalFormatting sqref="C6:C2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{1B66B904-3451-4A48-A042-72A3E9767670}</x14:id>
        </ext>
      </extLst>
    </cfRule>
  </conditionalFormatting>
  <conditionalFormatting sqref="C6:C45 F6:R4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{6178F2FF-113A-4D64-9A55-F806E0F38586}</x14:id>
        </ext>
      </extLst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C4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{E75B804D-4D4B-4159-994A-4DC4901D3238}</x14:id>
        </ext>
      </extLst>
    </cfRule>
  </conditionalFormatting>
  <conditionalFormatting sqref="C26:C4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43 C26 C4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{3FD3A52A-BC28-4A5A-A370-5A406081130B}</x14:id>
        </ext>
      </extLst>
    </cfRule>
  </conditionalFormatting>
  <conditionalFormatting sqref="C6:R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{FEDFC549-DCEE-43AB-8AEE-02765F872CA2}</x14:id>
        </ext>
      </extLst>
    </cfRule>
    <cfRule type="aboveAverage" dxfId="26" priority="5" aboveAverage="0"/>
  </conditionalFormatting>
  <conditionalFormatting sqref="D6:E6 D24:E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{5BD8B6D8-4968-4DD8-B8A9-471FEAEE192A}</x14:id>
        </ext>
      </extLst>
    </cfRule>
  </conditionalFormatting>
  <conditionalFormatting sqref="D6:E2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{96641237-F530-4C30-923D-98375C20AC04}</x14:id>
        </ext>
      </extLst>
    </cfRule>
  </conditionalFormatting>
  <conditionalFormatting sqref="D26:E26 D44:E4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{A8162A29-376F-4F8E-A008-69A52B3FC97F}</x14:id>
        </ext>
      </extLst>
    </cfRule>
  </conditionalFormatting>
  <conditionalFormatting sqref="D26:E4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{2B457CDA-192A-498B-B097-84F5697D58BB}</x14:id>
        </ext>
      </extLst>
    </cfRule>
  </conditionalFormatting>
  <conditionalFormatting sqref="F26:F3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{344FFAF0-A7F2-4DB5-8C70-5C08C1A6FCD1}</x14:id>
        </ext>
      </extLst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{00B6732A-CE6C-476A-8627-02916E2796BE}</x14:id>
        </ext>
      </extLst>
    </cfRule>
  </conditionalFormatting>
  <conditionalFormatting sqref="G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{43AF006F-A636-4326-9F07-36CABC7C1F74}</x14:id>
        </ext>
      </extLst>
    </cfRule>
  </conditionalFormatting>
  <conditionalFormatting sqref="I27:I35 I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{95524A12-9B14-4609-939A-715A879D0E52}</x14:id>
        </ext>
      </extLst>
    </cfRule>
  </conditionalFormatting>
  <conditionalFormatting sqref="J26:Q26 J27:M33 N27:Q3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{BBC338D7-3AFD-45D1-A161-34D342C18D75}</x14:id>
        </ext>
      </extLst>
    </cfRule>
  </conditionalFormatting>
  <conditionalFormatting sqref="L26:L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{6C6F3769-45B6-4FEF-BF4B-2C3B277227D8}</x14:id>
        </ext>
      </extLst>
    </cfRule>
  </conditionalFormatting>
  <conditionalFormatting sqref="M34:M4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{BFCCFE2F-14AB-4A3E-99DF-3961DC7B0CDB}</x14:id>
        </ext>
      </extLst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{CA285D16-D2E2-487F-9BBB-9F9D79273182}</x14:id>
        </ext>
      </extLst>
    </cfRule>
  </conditionalFormatting>
  <conditionalFormatting sqref="R35:R36 R2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{C5AC0648-6C1E-4510-BA28-776FAAE3221F}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394AC6-2E33-4111-9224-3A1DE849E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C6:C25 F6:R6 F24:M25 H26:H35 J34:L35 H36:L43 F33:F43 F44:L45 C45 N7:Q14 N25:R25 N34:Q44 N45:R45 N15:R16 N17:Q24 H7:M23 L6:L25 L36:L45 F7:F23</xm:sqref>
        </x14:conditionalFormatting>
        <x14:conditionalFormatting xmlns:xm="http://schemas.microsoft.com/office/excel/2006/main">
          <x14:cfRule type="dataBar" id="{1B66B904-3451-4A48-A042-72A3E9767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C6:C25</xm:sqref>
        </x14:conditionalFormatting>
        <x14:conditionalFormatting xmlns:xm="http://schemas.microsoft.com/office/excel/2006/main">
          <x14:cfRule type="dataBar" id="{6178F2FF-113A-4D64-9A55-F806E0F38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C6:C45 F6:R45</xm:sqref>
        </x14:conditionalFormatting>
        <x14:conditionalFormatting xmlns:xm="http://schemas.microsoft.com/office/excel/2006/main">
          <x14:cfRule type="dataBar" id="{E75B804D-4D4B-4159-994A-4DC4901D32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C26:C44</xm:sqref>
        </x14:conditionalFormatting>
        <x14:conditionalFormatting xmlns:xm="http://schemas.microsoft.com/office/excel/2006/main">
          <x14:cfRule type="dataBar" id="{3FD3A52A-BC28-4A5A-A370-5A40608113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C27:C43 C26 C44</xm:sqref>
        </x14:conditionalFormatting>
        <x14:conditionalFormatting xmlns:xm="http://schemas.microsoft.com/office/excel/2006/main">
          <x14:cfRule type="dataBar" id="{FEDFC549-DCEE-43AB-8AEE-02765F872C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C6:R45</xm:sqref>
        </x14:conditionalFormatting>
        <x14:conditionalFormatting xmlns:xm="http://schemas.microsoft.com/office/excel/2006/main">
          <x14:cfRule type="dataBar" id="{5BD8B6D8-4968-4DD8-B8A9-471FEAEE19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D6:E6 D24:E25</xm:sqref>
        </x14:conditionalFormatting>
        <x14:conditionalFormatting xmlns:xm="http://schemas.microsoft.com/office/excel/2006/main">
          <x14:cfRule type="dataBar" id="{96641237-F530-4C30-923D-98375C20A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D6:E25</xm:sqref>
        </x14:conditionalFormatting>
        <x14:conditionalFormatting xmlns:xm="http://schemas.microsoft.com/office/excel/2006/main">
          <x14:cfRule type="dataBar" id="{A8162A29-376F-4F8E-A008-69A52B3FC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D26:E26 D44:E45</xm:sqref>
        </x14:conditionalFormatting>
        <x14:conditionalFormatting xmlns:xm="http://schemas.microsoft.com/office/excel/2006/main">
          <x14:cfRule type="dataBar" id="{2B457CDA-192A-498B-B097-84F5697D58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D26:E45</xm:sqref>
        </x14:conditionalFormatting>
        <x14:conditionalFormatting xmlns:xm="http://schemas.microsoft.com/office/excel/2006/main">
          <x14:cfRule type="dataBar" id="{344FFAF0-A7F2-4DB5-8C70-5C08C1A6F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B6732A-CE6C-476A-8627-02916E2796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F26:F33</xm:sqref>
        </x14:conditionalFormatting>
        <x14:conditionalFormatting xmlns:xm="http://schemas.microsoft.com/office/excel/2006/main">
          <x14:cfRule type="dataBar" id="{43AF006F-A636-4326-9F07-36CABC7C1F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G26</xm:sqref>
        </x14:conditionalFormatting>
        <x14:conditionalFormatting xmlns:xm="http://schemas.microsoft.com/office/excel/2006/main">
          <x14:cfRule type="dataBar" id="{95524A12-9B14-4609-939A-715A879D0E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I27:I35 I26</xm:sqref>
        </x14:conditionalFormatting>
        <x14:conditionalFormatting xmlns:xm="http://schemas.microsoft.com/office/excel/2006/main">
          <x14:cfRule type="dataBar" id="{BBC338D7-3AFD-45D1-A161-34D342C18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J26:Q26 J27:M33 N27:Q33</xm:sqref>
        </x14:conditionalFormatting>
        <x14:conditionalFormatting xmlns:xm="http://schemas.microsoft.com/office/excel/2006/main">
          <x14:cfRule type="dataBar" id="{6C6F3769-45B6-4FEF-BF4B-2C3B27722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L26:L35</xm:sqref>
        </x14:conditionalFormatting>
        <x14:conditionalFormatting xmlns:xm="http://schemas.microsoft.com/office/excel/2006/main">
          <x14:cfRule type="dataBar" id="{BFCCFE2F-14AB-4A3E-99DF-3961DC7B0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285D16-D2E2-487F-9BBB-9F9D79273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M34:M45</xm:sqref>
        </x14:conditionalFormatting>
        <x14:conditionalFormatting xmlns:xm="http://schemas.microsoft.com/office/excel/2006/main">
          <x14:cfRule type="dataBar" id="{C5AC0648-6C1E-4510-BA28-776FAAE322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R35:R36 R26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B895-E247-4DFE-AF19-093245D0139B}">
  <dimension ref="B1:O21"/>
  <sheetViews>
    <sheetView topLeftCell="A3" zoomScale="70" zoomScaleNormal="70" workbookViewId="0">
      <selection activeCell="E36" sqref="D36:E36"/>
    </sheetView>
  </sheetViews>
  <sheetFormatPr defaultRowHeight="14.4"/>
  <cols>
    <col min="1" max="1" width="4.21875" bestFit="1" customWidth="1"/>
    <col min="2" max="2" width="3.88671875" customWidth="1"/>
    <col min="3" max="3" width="43.44140625" style="18" bestFit="1" customWidth="1"/>
    <col min="4" max="4" width="11.6640625" bestFit="1" customWidth="1"/>
    <col min="5" max="5" width="11.88671875" bestFit="1" customWidth="1"/>
    <col min="6" max="6" width="16.6640625" customWidth="1"/>
    <col min="7" max="7" width="5.33203125" bestFit="1" customWidth="1"/>
    <col min="8" max="8" width="15.5546875" bestFit="1" customWidth="1"/>
    <col min="9" max="9" width="13.109375" bestFit="1" customWidth="1"/>
    <col min="10" max="10" width="15.5546875" bestFit="1" customWidth="1"/>
    <col min="11" max="11" width="13.109375" bestFit="1" customWidth="1"/>
  </cols>
  <sheetData>
    <row r="1" spans="2:15" ht="19.8" customHeight="1">
      <c r="B1" s="19" t="s">
        <v>0</v>
      </c>
      <c r="C1" s="17"/>
      <c r="D1" s="17"/>
      <c r="E1" s="17"/>
      <c r="F1" s="184" t="e" vm="1">
        <v>#VALUE!</v>
      </c>
    </row>
    <row r="2" spans="2:15" ht="19.8" customHeight="1">
      <c r="B2" s="19" t="s">
        <v>1</v>
      </c>
      <c r="C2" s="17"/>
      <c r="D2" s="17"/>
      <c r="E2" s="17"/>
      <c r="F2" s="184"/>
    </row>
    <row r="3" spans="2:15" ht="19.8" customHeight="1" thickBot="1">
      <c r="B3" s="51" t="str">
        <f>PROGRESSION!A3</f>
        <v>Report Date: 29 AUGUST 2026</v>
      </c>
      <c r="C3" s="17"/>
      <c r="D3" s="17"/>
      <c r="E3" s="17"/>
      <c r="F3" s="184"/>
    </row>
    <row r="4" spans="2:15" ht="19.8" customHeight="1" thickBot="1">
      <c r="B4" s="185" t="s">
        <v>42</v>
      </c>
      <c r="C4" s="186"/>
      <c r="D4" s="33" t="s">
        <v>40</v>
      </c>
      <c r="E4" s="34" t="s">
        <v>43</v>
      </c>
      <c r="F4" s="35" t="s">
        <v>41</v>
      </c>
      <c r="H4" s="32" t="s">
        <v>44</v>
      </c>
      <c r="I4" s="32" t="s">
        <v>45</v>
      </c>
      <c r="J4" s="42" t="s">
        <v>46</v>
      </c>
      <c r="K4" s="42"/>
      <c r="L4" s="42"/>
      <c r="M4" s="43"/>
      <c r="N4" s="43"/>
      <c r="O4" s="43"/>
    </row>
    <row r="5" spans="2:15" ht="19.8" customHeight="1">
      <c r="B5" s="193" t="s">
        <v>3</v>
      </c>
      <c r="C5" s="31" t="s">
        <v>6</v>
      </c>
      <c r="D5" s="24" t="s">
        <v>29</v>
      </c>
      <c r="E5" s="52">
        <f>PROGRESSION!C46</f>
        <v>0.93125000000000013</v>
      </c>
      <c r="F5" s="56" t="str">
        <f>IF(E5&gt;=1,"Complete",IF(E5=0,"Not Started","In Progress"))</f>
        <v>In Progress</v>
      </c>
      <c r="H5" s="42" t="s">
        <v>47</v>
      </c>
      <c r="I5" s="44" t="s">
        <v>48</v>
      </c>
      <c r="J5" s="44" t="s">
        <v>49</v>
      </c>
      <c r="K5" s="44" t="s">
        <v>50</v>
      </c>
      <c r="L5" s="44" t="s">
        <v>51</v>
      </c>
      <c r="M5" s="44"/>
      <c r="N5" s="44"/>
      <c r="O5" s="44"/>
    </row>
    <row r="6" spans="2:15" ht="19.8" customHeight="1">
      <c r="B6" s="194"/>
      <c r="C6" s="22" t="s">
        <v>7</v>
      </c>
      <c r="D6" s="23" t="s">
        <v>37</v>
      </c>
      <c r="E6" s="53">
        <f>PROGRESSION!D46</f>
        <v>0.45</v>
      </c>
      <c r="F6" s="56" t="str">
        <f t="shared" ref="F6:F21" si="0">IF(E6&gt;=1,"Complete",IF(E6=0,"Not Started","In Progress"))</f>
        <v>In Progress</v>
      </c>
      <c r="H6" s="42" t="s">
        <v>52</v>
      </c>
      <c r="I6" s="44" t="s">
        <v>53</v>
      </c>
      <c r="J6" s="44" t="s">
        <v>54</v>
      </c>
      <c r="K6" s="44"/>
      <c r="L6" s="44"/>
      <c r="M6" s="44"/>
      <c r="N6" s="44"/>
      <c r="O6" s="44"/>
    </row>
    <row r="7" spans="2:15" ht="19.8" customHeight="1">
      <c r="B7" s="194"/>
      <c r="C7" s="22" t="s">
        <v>8</v>
      </c>
      <c r="D7" s="24"/>
      <c r="E7" s="53">
        <f>PROGRESSION!E46</f>
        <v>0.45</v>
      </c>
      <c r="F7" s="56" t="str">
        <f t="shared" si="0"/>
        <v>In Progress</v>
      </c>
      <c r="H7" s="42" t="s">
        <v>55</v>
      </c>
      <c r="I7" s="44" t="s">
        <v>56</v>
      </c>
      <c r="J7" s="44" t="s">
        <v>57</v>
      </c>
      <c r="K7" s="44"/>
      <c r="L7" s="44"/>
      <c r="M7" s="44"/>
      <c r="N7" s="44"/>
      <c r="O7" s="44"/>
    </row>
    <row r="8" spans="2:15" ht="19.8" customHeight="1">
      <c r="B8" s="194"/>
      <c r="C8" s="22" t="s">
        <v>26</v>
      </c>
      <c r="D8" s="23" t="s">
        <v>30</v>
      </c>
      <c r="E8" s="53">
        <f>PROGRESSION!F46</f>
        <v>0.45</v>
      </c>
      <c r="F8" s="56" t="str">
        <f t="shared" si="0"/>
        <v>In Progress</v>
      </c>
      <c r="H8" s="42" t="s">
        <v>58</v>
      </c>
      <c r="I8" s="45" t="s">
        <v>59</v>
      </c>
      <c r="J8" s="44" t="s">
        <v>60</v>
      </c>
      <c r="K8" s="44" t="s">
        <v>61</v>
      </c>
      <c r="L8" s="44" t="s">
        <v>62</v>
      </c>
      <c r="M8" s="44" t="s">
        <v>63</v>
      </c>
      <c r="N8" s="44" t="s">
        <v>64</v>
      </c>
      <c r="O8" s="44" t="s">
        <v>65</v>
      </c>
    </row>
    <row r="9" spans="2:15" ht="19.8" customHeight="1">
      <c r="B9" s="194"/>
      <c r="C9" s="22" t="s">
        <v>10</v>
      </c>
      <c r="D9" s="24"/>
      <c r="E9" s="53">
        <f>PROGRESSION!G46</f>
        <v>0</v>
      </c>
      <c r="F9" s="56" t="str">
        <f t="shared" si="0"/>
        <v>Not Started</v>
      </c>
      <c r="H9" s="42" t="s">
        <v>66</v>
      </c>
      <c r="I9" s="45" t="s">
        <v>67</v>
      </c>
      <c r="J9" s="44" t="s">
        <v>68</v>
      </c>
      <c r="K9" s="44"/>
      <c r="L9" s="44"/>
      <c r="M9" s="44"/>
      <c r="N9" s="44"/>
      <c r="O9" s="44"/>
    </row>
    <row r="10" spans="2:15" ht="19.8" customHeight="1">
      <c r="B10" s="194"/>
      <c r="C10" s="22" t="s">
        <v>11</v>
      </c>
      <c r="D10" s="25" t="s">
        <v>38</v>
      </c>
      <c r="E10" s="53">
        <f>PROGRESSION!H46</f>
        <v>0.69749999999999956</v>
      </c>
      <c r="F10" s="56" t="str">
        <f t="shared" si="0"/>
        <v>In Progress</v>
      </c>
      <c r="H10" s="42" t="s">
        <v>69</v>
      </c>
      <c r="I10" s="45" t="s">
        <v>70</v>
      </c>
      <c r="J10" s="44" t="s">
        <v>71</v>
      </c>
      <c r="K10" s="44"/>
      <c r="L10" s="44"/>
      <c r="M10" s="44"/>
      <c r="N10" s="44"/>
      <c r="O10" s="44"/>
    </row>
    <row r="11" spans="2:15" ht="19.8" customHeight="1" thickBot="1">
      <c r="B11" s="195"/>
      <c r="C11" s="26" t="s">
        <v>12</v>
      </c>
      <c r="D11" s="27" t="s">
        <v>31</v>
      </c>
      <c r="E11" s="54">
        <f>PROGRESSION!I46</f>
        <v>0.10499999999999998</v>
      </c>
      <c r="F11" s="56" t="str">
        <f t="shared" si="0"/>
        <v>In Progress</v>
      </c>
      <c r="H11" s="42" t="s">
        <v>72</v>
      </c>
      <c r="I11" s="45" t="s">
        <v>73</v>
      </c>
      <c r="J11" s="44" t="s">
        <v>62</v>
      </c>
      <c r="K11" s="44"/>
      <c r="L11" s="44"/>
      <c r="M11" s="44"/>
      <c r="N11" s="44"/>
      <c r="O11" s="44"/>
    </row>
    <row r="12" spans="2:15" ht="19.8" customHeight="1">
      <c r="B12" s="190" t="s">
        <v>4</v>
      </c>
      <c r="C12" s="20" t="s">
        <v>13</v>
      </c>
      <c r="D12" s="21" t="s">
        <v>36</v>
      </c>
      <c r="E12" s="55">
        <f>PROGRESSION!J46</f>
        <v>0.35499999999999998</v>
      </c>
      <c r="F12" s="56" t="str">
        <f t="shared" si="0"/>
        <v>In Progress</v>
      </c>
      <c r="H12" s="42" t="s">
        <v>74</v>
      </c>
      <c r="I12" s="45" t="s">
        <v>75</v>
      </c>
      <c r="J12" s="44" t="s">
        <v>76</v>
      </c>
      <c r="K12" s="44"/>
      <c r="L12" s="44"/>
      <c r="M12" s="44"/>
      <c r="N12" s="44"/>
      <c r="O12" s="44"/>
    </row>
    <row r="13" spans="2:15" ht="19.8" customHeight="1">
      <c r="B13" s="191"/>
      <c r="C13" s="22" t="s">
        <v>14</v>
      </c>
      <c r="D13" s="25"/>
      <c r="E13" s="53">
        <f>PROGRESSION!K46</f>
        <v>0.32500000000000001</v>
      </c>
      <c r="F13" s="56" t="str">
        <f t="shared" si="0"/>
        <v>In Progress</v>
      </c>
      <c r="H13" s="42" t="s">
        <v>77</v>
      </c>
      <c r="I13" s="45" t="s">
        <v>78</v>
      </c>
      <c r="J13" s="44" t="s">
        <v>79</v>
      </c>
      <c r="K13" s="44"/>
      <c r="L13" s="44"/>
      <c r="M13" s="44"/>
      <c r="N13" s="44"/>
      <c r="O13" s="44"/>
    </row>
    <row r="14" spans="2:15" ht="19.8" customHeight="1">
      <c r="B14" s="191"/>
      <c r="C14" s="22" t="s">
        <v>15</v>
      </c>
      <c r="D14" s="25" t="s">
        <v>32</v>
      </c>
      <c r="E14" s="53">
        <f>PROGRESSION!L46</f>
        <v>0.39</v>
      </c>
      <c r="F14" s="56" t="str">
        <f t="shared" si="0"/>
        <v>In Progress</v>
      </c>
      <c r="H14" s="42" t="s">
        <v>80</v>
      </c>
      <c r="I14" s="44" t="s">
        <v>81</v>
      </c>
      <c r="J14" s="44"/>
      <c r="K14" s="44"/>
      <c r="L14" s="44"/>
      <c r="M14" s="44"/>
      <c r="N14" s="44"/>
      <c r="O14" s="44"/>
    </row>
    <row r="15" spans="2:15" ht="19.8" customHeight="1">
      <c r="B15" s="191"/>
      <c r="C15" s="22" t="s">
        <v>27</v>
      </c>
      <c r="D15" s="23" t="s">
        <v>33</v>
      </c>
      <c r="E15" s="53">
        <f>AVERAGE(PROGRESSION!M6:M25)</f>
        <v>0.55000000000000004</v>
      </c>
      <c r="F15" s="56" t="str">
        <f t="shared" si="0"/>
        <v>In Progress</v>
      </c>
    </row>
    <row r="16" spans="2:15" ht="19.8" customHeight="1">
      <c r="B16" s="191"/>
      <c r="C16" s="22" t="s">
        <v>28</v>
      </c>
      <c r="D16" s="24"/>
      <c r="E16" s="53">
        <f>AVERAGE(PROGRESSION!M26:M45)</f>
        <v>0.45</v>
      </c>
      <c r="F16" s="56" t="str">
        <f t="shared" si="0"/>
        <v>In Progress</v>
      </c>
    </row>
    <row r="17" spans="2:6" ht="19.8" customHeight="1" thickBot="1">
      <c r="B17" s="192"/>
      <c r="C17" s="26" t="s">
        <v>17</v>
      </c>
      <c r="D17" s="27" t="s">
        <v>34</v>
      </c>
      <c r="E17" s="54">
        <f>PROGRESSION!N46</f>
        <v>0.1125</v>
      </c>
      <c r="F17" s="56" t="str">
        <f t="shared" si="0"/>
        <v>In Progress</v>
      </c>
    </row>
    <row r="18" spans="2:6" ht="19.8" customHeight="1">
      <c r="B18" s="187" t="s">
        <v>5</v>
      </c>
      <c r="C18" s="20" t="s">
        <v>18</v>
      </c>
      <c r="D18" s="28" t="s">
        <v>35</v>
      </c>
      <c r="E18" s="55">
        <f>PROGRESSION!O46</f>
        <v>0.27500000000000002</v>
      </c>
      <c r="F18" s="56" t="str">
        <f t="shared" si="0"/>
        <v>In Progress</v>
      </c>
    </row>
    <row r="19" spans="2:6" ht="19.8" customHeight="1">
      <c r="B19" s="188"/>
      <c r="C19" s="22" t="s">
        <v>19</v>
      </c>
      <c r="D19" s="29"/>
      <c r="E19" s="53">
        <f>PROGRESSION!P46</f>
        <v>4.4999999999999998E-2</v>
      </c>
      <c r="F19" s="56" t="str">
        <f t="shared" si="0"/>
        <v>In Progress</v>
      </c>
    </row>
    <row r="20" spans="2:6" ht="19.8" customHeight="1">
      <c r="B20" s="188"/>
      <c r="C20" s="22" t="s">
        <v>20</v>
      </c>
      <c r="D20" s="29"/>
      <c r="E20" s="53">
        <f>PROGRESSION!Q46</f>
        <v>0</v>
      </c>
      <c r="F20" s="56" t="str">
        <f t="shared" si="0"/>
        <v>Not Started</v>
      </c>
    </row>
    <row r="21" spans="2:6" ht="19.8" customHeight="1" thickBot="1">
      <c r="B21" s="189"/>
      <c r="C21" s="26" t="s">
        <v>21</v>
      </c>
      <c r="D21" s="30"/>
      <c r="E21" s="54">
        <f>PROGRESSION!R46</f>
        <v>0</v>
      </c>
      <c r="F21" s="56" t="str">
        <f t="shared" si="0"/>
        <v>Not Started</v>
      </c>
    </row>
  </sheetData>
  <mergeCells count="5">
    <mergeCell ref="F1:F3"/>
    <mergeCell ref="B4:C4"/>
    <mergeCell ref="B18:B21"/>
    <mergeCell ref="B12:B17"/>
    <mergeCell ref="B5:B11"/>
  </mergeCells>
  <conditionalFormatting sqref="C5:E6 E5:F21 D7 C8:E8 D9 C10:E15 D16 C17:E18 D19:D21">
    <cfRule type="expression" dxfId="25" priority="46">
      <formula>AND(#REF!=0,#REF!&lt;&gt;"")</formula>
    </cfRule>
  </conditionalFormatting>
  <dataValidations count="2">
    <dataValidation type="list" errorStyle="warning" allowBlank="1" showInputMessage="1" showErrorMessage="1" error="Select entry from the list. Select CANCEL, then press ALT+DOWN ARROW to navigate the list. Select ENTER to make selection" sqref="E5:E9 F5:F21" xr:uid="{271E2107-1E0E-4E2B-9FFA-334F7C12DADF}">
      <formula1>"Not Started,In Progress, Deferred, Complete"</formula1>
    </dataValidation>
    <dataValidation type="list" errorStyle="warning" allowBlank="1" showInputMessage="1" showErrorMessage="1" error="Select entry from the list. Select CANCEL, then press ALT+DOWN ARROW to navigate the list. Select ENTER to make selection" sqref="D5:D6 D8" xr:uid="{F82E2FA3-96FA-4EDF-8097-234862576388}">
      <formula1>"Low, Normal, 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6AEA-61DF-4BC5-9990-AB4472D42061}">
  <dimension ref="B2:G30"/>
  <sheetViews>
    <sheetView workbookViewId="0">
      <selection activeCell="L10" sqref="L10"/>
    </sheetView>
  </sheetViews>
  <sheetFormatPr defaultRowHeight="14.4"/>
  <sheetData>
    <row r="2" spans="2:7">
      <c r="B2" s="196" t="s">
        <v>82</v>
      </c>
      <c r="C2" s="196"/>
      <c r="D2" s="196"/>
      <c r="E2" s="196" t="s">
        <v>83</v>
      </c>
      <c r="F2" s="196"/>
      <c r="G2" s="196"/>
    </row>
    <row r="3" spans="2:7">
      <c r="B3" s="47">
        <v>1</v>
      </c>
      <c r="C3" s="32" t="s">
        <v>44</v>
      </c>
      <c r="D3" s="48">
        <v>2000</v>
      </c>
      <c r="E3" s="46">
        <v>1</v>
      </c>
      <c r="F3" s="49" t="s">
        <v>84</v>
      </c>
      <c r="G3" s="46">
        <v>0</v>
      </c>
    </row>
    <row r="4" spans="2:7">
      <c r="B4" s="47">
        <v>2</v>
      </c>
      <c r="C4" s="32" t="s">
        <v>48</v>
      </c>
      <c r="D4" s="48">
        <v>1000</v>
      </c>
      <c r="E4" s="46">
        <v>2</v>
      </c>
      <c r="F4" s="42" t="s">
        <v>85</v>
      </c>
      <c r="G4" s="42"/>
    </row>
    <row r="5" spans="2:7">
      <c r="B5" s="47">
        <v>3</v>
      </c>
      <c r="C5" s="32" t="s">
        <v>53</v>
      </c>
      <c r="D5" s="48">
        <v>500</v>
      </c>
      <c r="E5" s="46"/>
      <c r="F5" s="42"/>
      <c r="G5" s="42"/>
    </row>
    <row r="6" spans="2:7">
      <c r="B6" s="47">
        <v>4</v>
      </c>
      <c r="C6" s="32" t="s">
        <v>56</v>
      </c>
      <c r="D6" s="48">
        <v>700</v>
      </c>
      <c r="E6" s="46"/>
      <c r="F6" s="42"/>
      <c r="G6" s="42"/>
    </row>
    <row r="7" spans="2:7">
      <c r="B7" s="47">
        <v>5</v>
      </c>
      <c r="C7" s="50" t="s">
        <v>59</v>
      </c>
      <c r="D7" s="48">
        <v>500</v>
      </c>
      <c r="E7" s="46"/>
      <c r="F7" s="42"/>
      <c r="G7" s="42"/>
    </row>
    <row r="8" spans="2:7">
      <c r="B8" s="47">
        <v>6</v>
      </c>
      <c r="C8" s="50" t="s">
        <v>67</v>
      </c>
      <c r="D8" s="48">
        <v>500</v>
      </c>
      <c r="E8" s="46"/>
      <c r="F8" s="42"/>
      <c r="G8" s="42"/>
    </row>
    <row r="9" spans="2:7">
      <c r="B9" s="47">
        <v>7</v>
      </c>
      <c r="C9" s="50" t="s">
        <v>70</v>
      </c>
      <c r="D9" s="48">
        <v>500</v>
      </c>
      <c r="E9" s="46"/>
      <c r="F9" s="42"/>
      <c r="G9" s="42"/>
    </row>
    <row r="10" spans="2:7">
      <c r="B10" s="47">
        <v>8</v>
      </c>
      <c r="C10" s="50" t="s">
        <v>73</v>
      </c>
      <c r="D10" s="48">
        <v>700</v>
      </c>
      <c r="E10" s="46"/>
      <c r="F10" s="42"/>
      <c r="G10" s="42"/>
    </row>
    <row r="11" spans="2:7">
      <c r="B11" s="47">
        <v>9</v>
      </c>
      <c r="C11" s="50" t="s">
        <v>75</v>
      </c>
      <c r="D11" s="48">
        <v>500</v>
      </c>
      <c r="E11" s="46"/>
      <c r="F11" s="42"/>
      <c r="G11" s="42"/>
    </row>
    <row r="12" spans="2:7">
      <c r="B12" s="47">
        <v>10</v>
      </c>
      <c r="C12" s="50" t="s">
        <v>78</v>
      </c>
      <c r="D12" s="48">
        <v>500</v>
      </c>
      <c r="E12" s="46"/>
      <c r="F12" s="42"/>
      <c r="G12" s="42"/>
    </row>
    <row r="13" spans="2:7">
      <c r="B13" s="47">
        <v>11</v>
      </c>
      <c r="C13" s="32" t="s">
        <v>81</v>
      </c>
      <c r="D13" s="48">
        <v>500</v>
      </c>
      <c r="E13" s="46"/>
      <c r="F13" s="42"/>
      <c r="G13" s="42"/>
    </row>
    <row r="14" spans="2:7">
      <c r="B14" s="47">
        <v>12</v>
      </c>
      <c r="C14" s="49" t="s">
        <v>51</v>
      </c>
      <c r="D14" s="48">
        <v>500</v>
      </c>
      <c r="E14" s="46"/>
      <c r="F14" s="42"/>
      <c r="G14" s="42"/>
    </row>
    <row r="15" spans="2:7">
      <c r="B15" s="47">
        <v>13</v>
      </c>
      <c r="C15" s="49" t="s">
        <v>61</v>
      </c>
      <c r="D15" s="48">
        <v>1000</v>
      </c>
      <c r="E15" s="46"/>
      <c r="F15" s="42"/>
      <c r="G15" s="42"/>
    </row>
    <row r="16" spans="2:7">
      <c r="B16" s="47">
        <v>14</v>
      </c>
      <c r="C16" s="49" t="s">
        <v>65</v>
      </c>
      <c r="D16" s="48">
        <v>500</v>
      </c>
      <c r="E16" s="46"/>
      <c r="F16" s="42"/>
      <c r="G16" s="42"/>
    </row>
    <row r="17" spans="2:7">
      <c r="B17" s="47">
        <v>15</v>
      </c>
      <c r="C17" s="49" t="s">
        <v>76</v>
      </c>
      <c r="D17" s="48">
        <v>500</v>
      </c>
      <c r="E17" s="46"/>
      <c r="F17" s="42"/>
      <c r="G17" s="42"/>
    </row>
    <row r="18" spans="2:7">
      <c r="B18" s="47">
        <v>16</v>
      </c>
      <c r="C18" s="49" t="s">
        <v>64</v>
      </c>
      <c r="D18" s="48">
        <v>500</v>
      </c>
      <c r="E18" s="46"/>
      <c r="F18" s="42"/>
      <c r="G18" s="42"/>
    </row>
    <row r="19" spans="2:7">
      <c r="B19" s="47">
        <v>17</v>
      </c>
      <c r="C19" s="49" t="s">
        <v>50</v>
      </c>
      <c r="D19" s="48" t="s">
        <v>37</v>
      </c>
      <c r="E19" s="46"/>
      <c r="F19" s="42"/>
      <c r="G19" s="42"/>
    </row>
    <row r="20" spans="2:7">
      <c r="B20" s="47">
        <v>18</v>
      </c>
      <c r="C20" s="49" t="s">
        <v>57</v>
      </c>
      <c r="D20" s="48">
        <v>500</v>
      </c>
      <c r="E20" s="46"/>
      <c r="F20" s="42"/>
      <c r="G20" s="42"/>
    </row>
    <row r="21" spans="2:7">
      <c r="B21" s="47">
        <v>19</v>
      </c>
      <c r="C21" s="49" t="s">
        <v>54</v>
      </c>
      <c r="D21" s="48">
        <v>500</v>
      </c>
      <c r="E21" s="46"/>
      <c r="F21" s="42"/>
      <c r="G21" s="42"/>
    </row>
    <row r="22" spans="2:7">
      <c r="B22" s="47">
        <v>20</v>
      </c>
      <c r="C22" s="49" t="s">
        <v>49</v>
      </c>
      <c r="D22" s="48">
        <v>500</v>
      </c>
      <c r="E22" s="46"/>
      <c r="F22" s="42"/>
      <c r="G22" s="42"/>
    </row>
    <row r="23" spans="2:7">
      <c r="B23" s="47">
        <v>21</v>
      </c>
      <c r="C23" s="49" t="s">
        <v>60</v>
      </c>
      <c r="D23" s="48">
        <v>500</v>
      </c>
      <c r="E23" s="46"/>
      <c r="F23" s="42"/>
      <c r="G23" s="42"/>
    </row>
    <row r="24" spans="2:7">
      <c r="B24" s="47">
        <v>22</v>
      </c>
      <c r="C24" s="49" t="s">
        <v>68</v>
      </c>
      <c r="D24" s="48">
        <v>500</v>
      </c>
      <c r="E24" s="46"/>
      <c r="F24" s="42"/>
      <c r="G24" s="42"/>
    </row>
    <row r="25" spans="2:7">
      <c r="B25" s="47">
        <v>23</v>
      </c>
      <c r="C25" s="49" t="s">
        <v>71</v>
      </c>
      <c r="D25" s="48">
        <v>500</v>
      </c>
      <c r="E25" s="46"/>
      <c r="F25" s="42"/>
      <c r="G25" s="42"/>
    </row>
    <row r="26" spans="2:7">
      <c r="B26" s="47">
        <v>24</v>
      </c>
      <c r="C26" s="49" t="s">
        <v>62</v>
      </c>
      <c r="D26" s="48">
        <v>500</v>
      </c>
      <c r="E26" s="46"/>
      <c r="F26" s="42"/>
      <c r="G26" s="42"/>
    </row>
    <row r="27" spans="2:7">
      <c r="B27" s="47">
        <v>25</v>
      </c>
      <c r="C27" s="49" t="s">
        <v>63</v>
      </c>
      <c r="D27" s="48">
        <v>500</v>
      </c>
      <c r="E27" s="46"/>
      <c r="F27" s="42"/>
      <c r="G27" s="42"/>
    </row>
    <row r="28" spans="2:7">
      <c r="B28" s="47">
        <v>26</v>
      </c>
      <c r="C28" s="49" t="s">
        <v>79</v>
      </c>
      <c r="D28" s="48">
        <v>500</v>
      </c>
      <c r="E28" s="46"/>
      <c r="F28" s="42"/>
      <c r="G28" s="42"/>
    </row>
    <row r="29" spans="2:7">
      <c r="B29" s="47">
        <v>27</v>
      </c>
      <c r="C29" s="32" t="s">
        <v>81</v>
      </c>
      <c r="D29" s="48">
        <v>500</v>
      </c>
      <c r="E29" s="46"/>
      <c r="F29" s="42"/>
      <c r="G29" s="42"/>
    </row>
    <row r="30" spans="2:7">
      <c r="B30" s="47"/>
      <c r="C30" s="49" t="s">
        <v>86</v>
      </c>
      <c r="D30" s="48">
        <f>SUM(D3:D29)</f>
        <v>15900</v>
      </c>
      <c r="E30" s="46"/>
      <c r="F30" s="42"/>
      <c r="G30" s="42"/>
    </row>
  </sheetData>
  <mergeCells count="2">
    <mergeCell ref="B2:D2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332C-90AF-4F47-9647-8A018CEBD6E2}">
  <dimension ref="A1:F26"/>
  <sheetViews>
    <sheetView workbookViewId="0">
      <selection activeCell="L33" sqref="L33"/>
    </sheetView>
  </sheetViews>
  <sheetFormatPr defaultRowHeight="14.4"/>
  <cols>
    <col min="1" max="1" width="38.88671875" customWidth="1"/>
    <col min="2" max="2" width="42.5546875" customWidth="1"/>
    <col min="3" max="4" width="16.33203125" customWidth="1"/>
    <col min="5" max="5" width="18.5546875" customWidth="1"/>
    <col min="6" max="6" width="16.6640625" customWidth="1"/>
  </cols>
  <sheetData>
    <row r="1" spans="1:6" ht="22.05" customHeight="1">
      <c r="A1" s="197" t="s">
        <v>114</v>
      </c>
      <c r="B1" s="198"/>
      <c r="C1" s="198"/>
      <c r="D1" s="198"/>
      <c r="E1" s="198"/>
      <c r="F1" s="198"/>
    </row>
    <row r="2" spans="1:6" ht="22.05" customHeight="1">
      <c r="A2" s="199" t="str">
        <f>IF(C8=D8,"Overall tied",IF(C8&gt;D8,"Tower A leads overall by "&amp;TEXT(C8-D8,"0.0%"),"Tower B leads overall by "&amp;TEXT(D8-C8,"0.0%")))</f>
        <v>Tower A leads overall by 1.1%</v>
      </c>
      <c r="B2" s="200"/>
      <c r="C2" s="200"/>
      <c r="D2" s="200"/>
      <c r="E2" s="200"/>
      <c r="F2" s="200"/>
    </row>
    <row r="4" spans="1:6">
      <c r="A4" s="59" t="s">
        <v>87</v>
      </c>
      <c r="B4" s="59"/>
      <c r="C4" s="59" t="s">
        <v>88</v>
      </c>
      <c r="D4" s="59" t="s">
        <v>89</v>
      </c>
      <c r="E4" s="59" t="s">
        <v>90</v>
      </c>
      <c r="F4" s="59" t="s">
        <v>91</v>
      </c>
    </row>
    <row r="5" spans="1:6">
      <c r="A5" s="61" t="s">
        <v>3</v>
      </c>
      <c r="B5" s="84"/>
      <c r="C5" s="62">
        <f>AVERAGE(C11:C17)</f>
        <v>0.44392857142857151</v>
      </c>
      <c r="D5" s="62">
        <f>AVERAGE(D11:D17)</f>
        <v>0.43714285714285722</v>
      </c>
      <c r="E5" s="63">
        <f>C5-D5</f>
        <v>6.7857142857142838E-3</v>
      </c>
      <c r="F5" s="64" t="str">
        <f>IF(C5=D5,"Tie",IF(C5&gt;D5,"Tower A","Tower B"))</f>
        <v>Tower A</v>
      </c>
    </row>
    <row r="6" spans="1:6">
      <c r="A6" s="65" t="s">
        <v>4</v>
      </c>
      <c r="B6" s="85"/>
      <c r="C6" s="66">
        <f>AVERAGE(C18:C22)</f>
        <v>0.34899999999999998</v>
      </c>
      <c r="D6" s="66">
        <f>AVERAGE(D18:D22)</f>
        <v>0.32399999999999995</v>
      </c>
      <c r="E6" s="67">
        <f>C6-D6</f>
        <v>2.5000000000000022E-2</v>
      </c>
      <c r="F6" s="68" t="str">
        <f>IF(C6=D6,"Tie",IF(C6&gt;D6,"Tower A","Tower B"))</f>
        <v>Tower A</v>
      </c>
    </row>
    <row r="7" spans="1:6">
      <c r="A7" s="69" t="s">
        <v>5</v>
      </c>
      <c r="B7" s="86"/>
      <c r="C7" s="70">
        <f>AVERAGE(C23:C26)</f>
        <v>0.08</v>
      </c>
      <c r="D7" s="70">
        <f>AVERAGE(D23:D26)</f>
        <v>0.08</v>
      </c>
      <c r="E7" s="71">
        <f>C7-D7</f>
        <v>0</v>
      </c>
      <c r="F7" s="72" t="str">
        <f>IF(C7=D7,"Tie",IF(C7&gt;D7,"Tower A","Tower B"))</f>
        <v>Tie</v>
      </c>
    </row>
    <row r="8" spans="1:6" ht="15" thickBot="1">
      <c r="A8" s="87" t="s">
        <v>92</v>
      </c>
      <c r="B8" s="88"/>
      <c r="C8" s="89">
        <f>AVERAGE(C11:C26)</f>
        <v>0.32328125000000002</v>
      </c>
      <c r="D8" s="89">
        <f>AVERAGE(D11:D26)</f>
        <v>0.31250000000000006</v>
      </c>
      <c r="E8" s="90">
        <f>C8-D8</f>
        <v>1.0781249999999964E-2</v>
      </c>
      <c r="F8" s="91" t="str">
        <f>IF(C8=D8,"Tie",IF(C8&gt;D8,"Tower A","Tower B"))</f>
        <v>Tower A</v>
      </c>
    </row>
    <row r="9" spans="1:6" ht="15" thickTop="1"/>
    <row r="10" spans="1:6">
      <c r="A10" s="59" t="s">
        <v>87</v>
      </c>
      <c r="B10" s="59" t="s">
        <v>93</v>
      </c>
      <c r="C10" s="59" t="s">
        <v>88</v>
      </c>
      <c r="D10" s="59" t="s">
        <v>89</v>
      </c>
      <c r="E10" s="59" t="s">
        <v>90</v>
      </c>
      <c r="F10" s="59" t="s">
        <v>91</v>
      </c>
    </row>
    <row r="11" spans="1:6">
      <c r="A11" s="73" t="s">
        <v>94</v>
      </c>
      <c r="B11" s="57" t="s">
        <v>95</v>
      </c>
      <c r="C11" s="74">
        <f>AVERAGE(PROGRESSION!C6:C25)</f>
        <v>0.93250000000000011</v>
      </c>
      <c r="D11" s="74">
        <f>AVERAGE(PROGRESSION!C26:C45)</f>
        <v>0.93</v>
      </c>
      <c r="E11" s="77">
        <f>C11-D11</f>
        <v>2.5000000000000577E-3</v>
      </c>
      <c r="F11" s="78" t="str">
        <f>IF(C11=D11,"Tie",IF(C11&gt;D11,"Tower A","Tower B"))</f>
        <v>Tower A</v>
      </c>
    </row>
    <row r="12" spans="1:6">
      <c r="A12" s="73" t="s">
        <v>94</v>
      </c>
      <c r="B12" s="57" t="s">
        <v>96</v>
      </c>
      <c r="C12" s="74">
        <f>AVERAGE(PROGRESSION!D6:D25)</f>
        <v>0.45</v>
      </c>
      <c r="D12" s="74">
        <f>AVERAGE(PROGRESSION!D26:D45)</f>
        <v>0.45</v>
      </c>
      <c r="E12" s="77">
        <f t="shared" ref="E12:E26" si="0">C12-D12</f>
        <v>0</v>
      </c>
      <c r="F12" s="78" t="str">
        <f t="shared" ref="F12:F26" si="1">IF(C12=D12,"Tie",IF(C12&gt;D12,"Tower A","Tower B"))</f>
        <v>Tie</v>
      </c>
    </row>
    <row r="13" spans="1:6">
      <c r="A13" s="73" t="s">
        <v>94</v>
      </c>
      <c r="B13" s="57" t="s">
        <v>97</v>
      </c>
      <c r="C13" s="74">
        <f>AVERAGE(PROGRESSION!E6:E25)</f>
        <v>0.45</v>
      </c>
      <c r="D13" s="74">
        <f>AVERAGE(PROGRESSION!E26:E45)</f>
        <v>0.45</v>
      </c>
      <c r="E13" s="77">
        <f t="shared" si="0"/>
        <v>0</v>
      </c>
      <c r="F13" s="78" t="str">
        <f t="shared" si="1"/>
        <v>Tie</v>
      </c>
    </row>
    <row r="14" spans="1:6">
      <c r="A14" s="73" t="s">
        <v>94</v>
      </c>
      <c r="B14" s="57" t="s">
        <v>98</v>
      </c>
      <c r="C14" s="74">
        <f>AVERAGE(PROGRESSION!F6:F25)</f>
        <v>0.45</v>
      </c>
      <c r="D14" s="74">
        <f>AVERAGE(PROGRESSION!F26:F45)</f>
        <v>0.45</v>
      </c>
      <c r="E14" s="77">
        <f t="shared" si="0"/>
        <v>0</v>
      </c>
      <c r="F14" s="78" t="str">
        <f t="shared" si="1"/>
        <v>Tie</v>
      </c>
    </row>
    <row r="15" spans="1:6">
      <c r="A15" s="73" t="s">
        <v>94</v>
      </c>
      <c r="B15" s="57" t="s">
        <v>99</v>
      </c>
      <c r="C15" s="74">
        <f>AVERAGE(PROGRESSION!G6:G25)</f>
        <v>0</v>
      </c>
      <c r="D15" s="74">
        <f>AVERAGE(PROGRESSION!G26:G45)</f>
        <v>0</v>
      </c>
      <c r="E15" s="77">
        <f t="shared" si="0"/>
        <v>0</v>
      </c>
      <c r="F15" s="78" t="str">
        <f t="shared" si="1"/>
        <v>Tie</v>
      </c>
    </row>
    <row r="16" spans="1:6">
      <c r="A16" s="73" t="s">
        <v>94</v>
      </c>
      <c r="B16" s="57" t="s">
        <v>100</v>
      </c>
      <c r="C16" s="74">
        <f>AVERAGE(PROGRESSION!H6:H25)</f>
        <v>0.7200000000000002</v>
      </c>
      <c r="D16" s="74">
        <f>AVERAGE(PROGRESSION!H26:H45)</f>
        <v>0.67500000000000016</v>
      </c>
      <c r="E16" s="77">
        <f t="shared" si="0"/>
        <v>4.500000000000004E-2</v>
      </c>
      <c r="F16" s="78" t="str">
        <f t="shared" si="1"/>
        <v>Tower A</v>
      </c>
    </row>
    <row r="17" spans="1:6">
      <c r="A17" s="73" t="s">
        <v>94</v>
      </c>
      <c r="B17" s="57" t="s">
        <v>101</v>
      </c>
      <c r="C17" s="74">
        <f>AVERAGE(PROGRESSION!I6:I25)</f>
        <v>0.10500000000000001</v>
      </c>
      <c r="D17" s="74">
        <f>AVERAGE(PROGRESSION!I26:I45)</f>
        <v>0.10500000000000001</v>
      </c>
      <c r="E17" s="77">
        <f t="shared" si="0"/>
        <v>0</v>
      </c>
      <c r="F17" s="78" t="str">
        <f t="shared" si="1"/>
        <v>Tie</v>
      </c>
    </row>
    <row r="18" spans="1:6">
      <c r="A18" s="75" t="s">
        <v>102</v>
      </c>
      <c r="B18" s="57" t="s">
        <v>103</v>
      </c>
      <c r="C18" s="74">
        <f>AVERAGE(PROGRESSION!J6:J25)</f>
        <v>0.35499999999999998</v>
      </c>
      <c r="D18" s="74">
        <f>AVERAGE(PROGRESSION!J26:J45)</f>
        <v>0.35499999999999998</v>
      </c>
      <c r="E18" s="77">
        <f t="shared" si="0"/>
        <v>0</v>
      </c>
      <c r="F18" s="78" t="str">
        <f t="shared" si="1"/>
        <v>Tie</v>
      </c>
    </row>
    <row r="19" spans="1:6">
      <c r="A19" s="75" t="s">
        <v>102</v>
      </c>
      <c r="B19" s="57" t="s">
        <v>104</v>
      </c>
      <c r="C19" s="74">
        <f>AVERAGE(PROGRESSION!K6:K25)</f>
        <v>0.32500000000000001</v>
      </c>
      <c r="D19" s="74">
        <f>AVERAGE(PROGRESSION!K26:K45)</f>
        <v>0.32500000000000001</v>
      </c>
      <c r="E19" s="77">
        <f t="shared" si="0"/>
        <v>0</v>
      </c>
      <c r="F19" s="78" t="str">
        <f t="shared" si="1"/>
        <v>Tie</v>
      </c>
    </row>
    <row r="20" spans="1:6">
      <c r="A20" s="75" t="s">
        <v>102</v>
      </c>
      <c r="B20" s="57" t="s">
        <v>105</v>
      </c>
      <c r="C20" s="74">
        <f>AVERAGE(PROGRESSION!L6:L25)</f>
        <v>0.39</v>
      </c>
      <c r="D20" s="74">
        <f>AVERAGE(PROGRESSION!L26:L45)</f>
        <v>0.39</v>
      </c>
      <c r="E20" s="77">
        <f t="shared" si="0"/>
        <v>0</v>
      </c>
      <c r="F20" s="78" t="str">
        <f t="shared" si="1"/>
        <v>Tie</v>
      </c>
    </row>
    <row r="21" spans="1:6">
      <c r="A21" s="75" t="s">
        <v>102</v>
      </c>
      <c r="B21" s="57" t="s">
        <v>106</v>
      </c>
      <c r="C21" s="74">
        <f>AVERAGE(PROGRESSION!M6:M25)</f>
        <v>0.55000000000000004</v>
      </c>
      <c r="D21" s="74">
        <f>AVERAGE(PROGRESSION!M26:M45)</f>
        <v>0.45</v>
      </c>
      <c r="E21" s="77">
        <f t="shared" si="0"/>
        <v>0.10000000000000003</v>
      </c>
      <c r="F21" s="78" t="str">
        <f t="shared" si="1"/>
        <v>Tower A</v>
      </c>
    </row>
    <row r="22" spans="1:6">
      <c r="A22" s="75" t="s">
        <v>102</v>
      </c>
      <c r="B22" s="57" t="s">
        <v>107</v>
      </c>
      <c r="C22" s="74">
        <f>AVERAGE(PROGRESSION!N6:N25)</f>
        <v>0.125</v>
      </c>
      <c r="D22" s="74">
        <f>AVERAGE(PROGRESSION!N26:N45)</f>
        <v>0.1</v>
      </c>
      <c r="E22" s="77">
        <f t="shared" si="0"/>
        <v>2.4999999999999994E-2</v>
      </c>
      <c r="F22" s="78" t="str">
        <f t="shared" si="1"/>
        <v>Tower A</v>
      </c>
    </row>
    <row r="23" spans="1:6">
      <c r="A23" s="76" t="s">
        <v>108</v>
      </c>
      <c r="B23" s="57" t="s">
        <v>109</v>
      </c>
      <c r="C23" s="74">
        <f>AVERAGE(PROGRESSION!O6:O25)</f>
        <v>0.27500000000000002</v>
      </c>
      <c r="D23" s="74">
        <f>AVERAGE(PROGRESSION!O26:O45)</f>
        <v>0.27500000000000002</v>
      </c>
      <c r="E23" s="77">
        <f t="shared" si="0"/>
        <v>0</v>
      </c>
      <c r="F23" s="78" t="str">
        <f t="shared" si="1"/>
        <v>Tie</v>
      </c>
    </row>
    <row r="24" spans="1:6">
      <c r="A24" s="76" t="s">
        <v>108</v>
      </c>
      <c r="B24" s="57" t="s">
        <v>110</v>
      </c>
      <c r="C24" s="74">
        <f>AVERAGE(PROGRESSION!P6:P25)</f>
        <v>4.4999999999999998E-2</v>
      </c>
      <c r="D24" s="74">
        <f>AVERAGE(PROGRESSION!P26:P45)</f>
        <v>4.4999999999999998E-2</v>
      </c>
      <c r="E24" s="77">
        <f t="shared" si="0"/>
        <v>0</v>
      </c>
      <c r="F24" s="78" t="str">
        <f t="shared" si="1"/>
        <v>Tie</v>
      </c>
    </row>
    <row r="25" spans="1:6">
      <c r="A25" s="76" t="s">
        <v>108</v>
      </c>
      <c r="B25" s="57" t="s">
        <v>111</v>
      </c>
      <c r="C25" s="74">
        <f>AVERAGE(PROGRESSION!Q6:Q25)</f>
        <v>0</v>
      </c>
      <c r="D25" s="74">
        <f>AVERAGE(PROGRESSION!Q26:Q45)</f>
        <v>0</v>
      </c>
      <c r="E25" s="77">
        <f t="shared" si="0"/>
        <v>0</v>
      </c>
      <c r="F25" s="78" t="str">
        <f t="shared" si="1"/>
        <v>Tie</v>
      </c>
    </row>
    <row r="26" spans="1:6">
      <c r="A26" s="76" t="s">
        <v>108</v>
      </c>
      <c r="B26" s="57" t="s">
        <v>112</v>
      </c>
      <c r="C26" s="74">
        <f>AVERAGE(PROGRESSION!R6:R25)</f>
        <v>0</v>
      </c>
      <c r="D26" s="74">
        <f>AVERAGE(PROGRESSION!R26:R45)</f>
        <v>0</v>
      </c>
      <c r="E26" s="77">
        <f t="shared" si="0"/>
        <v>0</v>
      </c>
      <c r="F26" s="78" t="str">
        <f t="shared" si="1"/>
        <v>Tie</v>
      </c>
    </row>
  </sheetData>
  <mergeCells count="2">
    <mergeCell ref="A1:F1"/>
    <mergeCell ref="A2:F2"/>
  </mergeCells>
  <conditionalFormatting sqref="C11:C26">
    <cfRule type="expression" dxfId="24" priority="5">
      <formula>C11&gt;D11</formula>
    </cfRule>
  </conditionalFormatting>
  <conditionalFormatting sqref="D11:D26">
    <cfRule type="expression" dxfId="23" priority="6">
      <formula>D11&gt;C11</formula>
    </cfRule>
  </conditionalFormatting>
  <conditionalFormatting sqref="E5:E8">
    <cfRule type="cellIs" dxfId="22" priority="1" operator="lessThan">
      <formula>0</formula>
    </cfRule>
    <cfRule type="cellIs" dxfId="21" priority="2" operator="greaterThan">
      <formula>0</formula>
    </cfRule>
  </conditionalFormatting>
  <conditionalFormatting sqref="E11:E26">
    <cfRule type="cellIs" dxfId="20" priority="3" operator="lessThan">
      <formula>0</formula>
    </cfRule>
    <cfRule type="cellIs" dxfId="19" priority="4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0E44-6E4D-4136-B39B-4134D83CBFEE}">
  <dimension ref="A1:E26"/>
  <sheetViews>
    <sheetView workbookViewId="0">
      <selection activeCell="L33" sqref="L33"/>
    </sheetView>
  </sheetViews>
  <sheetFormatPr defaultRowHeight="14.4"/>
  <cols>
    <col min="1" max="1" width="38.88671875" customWidth="1"/>
    <col min="2" max="3" width="16.6640625" customWidth="1"/>
    <col min="4" max="4" width="18.5546875" customWidth="1"/>
    <col min="5" max="5" width="16.6640625" customWidth="1"/>
  </cols>
  <sheetData>
    <row r="1" spans="1:5" ht="22.05" customHeight="1">
      <c r="A1" s="197" t="s">
        <v>115</v>
      </c>
      <c r="B1" s="198"/>
      <c r="C1" s="198"/>
      <c r="D1" s="198"/>
      <c r="E1" s="198"/>
    </row>
    <row r="2" spans="1:5" ht="22.05" customHeight="1">
      <c r="A2" s="199" t="str">
        <f>"A ahead "&amp;COUNTIF(E5:E24,"Tower A")&amp;"  ·  B ahead "&amp;COUNTIF(E5:E24,"Tower B")&amp;"  ·  tie "&amp;COUNTIF(E5:E24,"Tie")</f>
        <v>A ahead 6  ·  B ahead 1  ·  tie 13</v>
      </c>
      <c r="B2" s="200"/>
      <c r="C2" s="200"/>
      <c r="D2" s="200"/>
      <c r="E2" s="200"/>
    </row>
    <row r="4" spans="1:5">
      <c r="A4" s="59" t="s">
        <v>113</v>
      </c>
      <c r="B4" s="59" t="s">
        <v>88</v>
      </c>
      <c r="C4" s="59" t="s">
        <v>89</v>
      </c>
      <c r="D4" s="59" t="s">
        <v>90</v>
      </c>
      <c r="E4" s="59" t="s">
        <v>91</v>
      </c>
    </row>
    <row r="5" spans="1:5">
      <c r="A5" s="80">
        <f>PROGRESSION!A6</f>
        <v>13</v>
      </c>
      <c r="B5" s="74">
        <f>AVERAGE(PROGRESSION!C6:R6)</f>
        <v>0.32500000000000001</v>
      </c>
      <c r="C5" s="74">
        <f>AVERAGE(PROGRESSION!C26:R26)</f>
        <v>0.33333333333333331</v>
      </c>
      <c r="D5" s="77">
        <f>B5-C5</f>
        <v>-8.3333333333333037E-3</v>
      </c>
      <c r="E5" s="78" t="str">
        <f>IF(B5=C5,"Tie",IF(B5&gt;C5,"Tower A","Tower B"))</f>
        <v>Tower B</v>
      </c>
    </row>
    <row r="6" spans="1:5">
      <c r="A6" s="80">
        <f>PROGRESSION!A7</f>
        <v>14</v>
      </c>
      <c r="B6" s="74">
        <f>AVERAGE(PROGRESSION!C7:R7)</f>
        <v>0.82500000000000007</v>
      </c>
      <c r="C6" s="74">
        <f>AVERAGE(PROGRESSION!C27:R27)</f>
        <v>0.82500000000000007</v>
      </c>
      <c r="D6" s="77">
        <f t="shared" ref="D6:D24" si="0">B6-C6</f>
        <v>0</v>
      </c>
      <c r="E6" s="78" t="str">
        <f t="shared" ref="E6:E24" si="1">IF(B6=C6,"Tie",IF(B6&gt;C6,"Tower A","Tower B"))</f>
        <v>Tie</v>
      </c>
    </row>
    <row r="7" spans="1:5">
      <c r="A7" s="80">
        <f>PROGRESSION!A8</f>
        <v>15</v>
      </c>
      <c r="B7" s="74">
        <f>AVERAGE(PROGRESSION!C8:R8)</f>
        <v>0.82500000000000007</v>
      </c>
      <c r="C7" s="74">
        <f>AVERAGE(PROGRESSION!C28:R28)</f>
        <v>0.82500000000000007</v>
      </c>
      <c r="D7" s="77">
        <f t="shared" si="0"/>
        <v>0</v>
      </c>
      <c r="E7" s="78" t="str">
        <f t="shared" si="1"/>
        <v>Tie</v>
      </c>
    </row>
    <row r="8" spans="1:5">
      <c r="A8" s="80">
        <f>PROGRESSION!A9</f>
        <v>16</v>
      </c>
      <c r="B8" s="74">
        <f>AVERAGE(PROGRESSION!C9:R9)</f>
        <v>0.70833333333333337</v>
      </c>
      <c r="C8" s="74">
        <f>AVERAGE(PROGRESSION!C29:R29)</f>
        <v>0.66666666666666663</v>
      </c>
      <c r="D8" s="77">
        <f t="shared" si="0"/>
        <v>4.1666666666666741E-2</v>
      </c>
      <c r="E8" s="78" t="str">
        <f t="shared" si="1"/>
        <v>Tower A</v>
      </c>
    </row>
    <row r="9" spans="1:5">
      <c r="A9" s="80">
        <f>PROGRESSION!A10</f>
        <v>17</v>
      </c>
      <c r="B9" s="74">
        <f>AVERAGE(PROGRESSION!C10:R10)</f>
        <v>0.65833333333333333</v>
      </c>
      <c r="C9" s="74">
        <f>AVERAGE(PROGRESSION!C30:R30)</f>
        <v>0.65833333333333333</v>
      </c>
      <c r="D9" s="77">
        <f t="shared" si="0"/>
        <v>0</v>
      </c>
      <c r="E9" s="78" t="str">
        <f t="shared" si="1"/>
        <v>Tie</v>
      </c>
    </row>
    <row r="10" spans="1:5">
      <c r="A10" s="80">
        <f>PROGRESSION!A11</f>
        <v>18</v>
      </c>
      <c r="B10" s="74">
        <f>AVERAGE(PROGRESSION!C11:R11)</f>
        <v>0.6166666666666667</v>
      </c>
      <c r="C10" s="74">
        <f>AVERAGE(PROGRESSION!C31:R31)</f>
        <v>0.6166666666666667</v>
      </c>
      <c r="D10" s="77">
        <f t="shared" si="0"/>
        <v>0</v>
      </c>
      <c r="E10" s="78" t="str">
        <f t="shared" si="1"/>
        <v>Tie</v>
      </c>
    </row>
    <row r="11" spans="1:5">
      <c r="A11" s="80">
        <f>PROGRESSION!A12</f>
        <v>19</v>
      </c>
      <c r="B11" s="74">
        <f>AVERAGE(PROGRESSION!C12:R12)</f>
        <v>0.57500000000000007</v>
      </c>
      <c r="C11" s="74">
        <f>AVERAGE(PROGRESSION!C32:R32)</f>
        <v>0.57500000000000007</v>
      </c>
      <c r="D11" s="77">
        <f t="shared" si="0"/>
        <v>0</v>
      </c>
      <c r="E11" s="78" t="str">
        <f t="shared" si="1"/>
        <v>Tie</v>
      </c>
    </row>
    <row r="12" spans="1:5">
      <c r="A12" s="80">
        <f>PROGRESSION!A13</f>
        <v>20</v>
      </c>
      <c r="B12" s="74">
        <f>AVERAGE(PROGRESSION!C13:R13)</f>
        <v>0.45</v>
      </c>
      <c r="C12" s="74">
        <f>AVERAGE(PROGRESSION!C33:R33)</f>
        <v>0.45</v>
      </c>
      <c r="D12" s="77">
        <f t="shared" si="0"/>
        <v>0</v>
      </c>
      <c r="E12" s="78" t="str">
        <f t="shared" si="1"/>
        <v>Tie</v>
      </c>
    </row>
    <row r="13" spans="1:5">
      <c r="A13" s="80">
        <f>PROGRESSION!A14</f>
        <v>21</v>
      </c>
      <c r="B13" s="74">
        <f>AVERAGE(PROGRESSION!C14:R14)</f>
        <v>0.33333333333333331</v>
      </c>
      <c r="C13" s="74">
        <f>AVERAGE(PROGRESSION!C34:R34)</f>
        <v>0.32500000000000001</v>
      </c>
      <c r="D13" s="77">
        <f t="shared" si="0"/>
        <v>8.3333333333333037E-3</v>
      </c>
      <c r="E13" s="78" t="str">
        <f t="shared" si="1"/>
        <v>Tower A</v>
      </c>
    </row>
    <row r="14" spans="1:5">
      <c r="A14" s="80">
        <f>PROGRESSION!A15</f>
        <v>22</v>
      </c>
      <c r="B14" s="74">
        <f>AVERAGE(PROGRESSION!C15:R15)</f>
        <v>0.3</v>
      </c>
      <c r="C14" s="74">
        <f>AVERAGE(PROGRESSION!C35:R35)</f>
        <v>0.3</v>
      </c>
      <c r="D14" s="77">
        <f t="shared" si="0"/>
        <v>0</v>
      </c>
      <c r="E14" s="78" t="str">
        <f t="shared" si="1"/>
        <v>Tie</v>
      </c>
    </row>
    <row r="15" spans="1:5">
      <c r="A15" s="80">
        <f>PROGRESSION!A16</f>
        <v>23</v>
      </c>
      <c r="B15" s="74">
        <f>AVERAGE(PROGRESSION!C16:R16)</f>
        <v>0.15833333333333333</v>
      </c>
      <c r="C15" s="74">
        <f>AVERAGE(PROGRESSION!C36:R36)</f>
        <v>0.15833333333333333</v>
      </c>
      <c r="D15" s="77">
        <f t="shared" si="0"/>
        <v>0</v>
      </c>
      <c r="E15" s="78" t="str">
        <f t="shared" si="1"/>
        <v>Tie</v>
      </c>
    </row>
    <row r="16" spans="1:5">
      <c r="A16" s="80">
        <f>PROGRESSION!A17</f>
        <v>24</v>
      </c>
      <c r="B16" s="74">
        <f>AVERAGE(PROGRESSION!C17:R17)</f>
        <v>0.15833333333333333</v>
      </c>
      <c r="C16" s="74">
        <f>AVERAGE(PROGRESSION!C37:R37)</f>
        <v>0.15833333333333333</v>
      </c>
      <c r="D16" s="77">
        <f t="shared" si="0"/>
        <v>0</v>
      </c>
      <c r="E16" s="78" t="str">
        <f t="shared" si="1"/>
        <v>Tie</v>
      </c>
    </row>
    <row r="17" spans="1:5">
      <c r="A17" s="80">
        <f>PROGRESSION!A18</f>
        <v>25</v>
      </c>
      <c r="B17" s="74">
        <f>AVERAGE(PROGRESSION!C18:R18)</f>
        <v>0.24166666666666667</v>
      </c>
      <c r="C17" s="74">
        <f>AVERAGE(PROGRESSION!C38:R38)</f>
        <v>0.15833333333333333</v>
      </c>
      <c r="D17" s="77">
        <f t="shared" si="0"/>
        <v>8.3333333333333343E-2</v>
      </c>
      <c r="E17" s="78" t="str">
        <f t="shared" si="1"/>
        <v>Tower A</v>
      </c>
    </row>
    <row r="18" spans="1:5">
      <c r="A18" s="80">
        <f>PROGRESSION!A19</f>
        <v>26</v>
      </c>
      <c r="B18" s="74">
        <f>AVERAGE(PROGRESSION!C19:R19)</f>
        <v>0.22500000000000001</v>
      </c>
      <c r="C18" s="74">
        <f>AVERAGE(PROGRESSION!C39:R39)</f>
        <v>0.22500000000000001</v>
      </c>
      <c r="D18" s="77">
        <f t="shared" si="0"/>
        <v>0</v>
      </c>
      <c r="E18" s="78" t="str">
        <f t="shared" si="1"/>
        <v>Tie</v>
      </c>
    </row>
    <row r="19" spans="1:5">
      <c r="A19" s="80">
        <f>PROGRESSION!A20</f>
        <v>27</v>
      </c>
      <c r="B19" s="74">
        <f>AVERAGE(PROGRESSION!C20:R20)</f>
        <v>0.24166666666666667</v>
      </c>
      <c r="C19" s="74">
        <f>AVERAGE(PROGRESSION!C40:R40)</f>
        <v>0.15833333333333333</v>
      </c>
      <c r="D19" s="77">
        <f t="shared" si="0"/>
        <v>8.3333333333333343E-2</v>
      </c>
      <c r="E19" s="78" t="str">
        <f t="shared" si="1"/>
        <v>Tower A</v>
      </c>
    </row>
    <row r="20" spans="1:5">
      <c r="A20" s="80">
        <f>PROGRESSION!A21</f>
        <v>28</v>
      </c>
      <c r="B20" s="74">
        <f>AVERAGE(PROGRESSION!C21:R21)</f>
        <v>0.15833333333333333</v>
      </c>
      <c r="C20" s="74">
        <f>AVERAGE(PROGRESSION!C41:R41)</f>
        <v>0.15833333333333333</v>
      </c>
      <c r="D20" s="77">
        <f t="shared" si="0"/>
        <v>0</v>
      </c>
      <c r="E20" s="78" t="str">
        <f t="shared" si="1"/>
        <v>Tie</v>
      </c>
    </row>
    <row r="21" spans="1:5">
      <c r="A21" s="80">
        <f>PROGRESSION!A22</f>
        <v>29</v>
      </c>
      <c r="B21" s="74">
        <f>AVERAGE(PROGRESSION!C22:R22)</f>
        <v>0.15833333333333333</v>
      </c>
      <c r="C21" s="74">
        <f>AVERAGE(PROGRESSION!C42:R42)</f>
        <v>8.3333333333333329E-2</v>
      </c>
      <c r="D21" s="77">
        <f t="shared" si="0"/>
        <v>7.4999999999999997E-2</v>
      </c>
      <c r="E21" s="78" t="str">
        <f t="shared" si="1"/>
        <v>Tower A</v>
      </c>
    </row>
    <row r="22" spans="1:5">
      <c r="A22" s="80">
        <f>PROGRESSION!A23</f>
        <v>30</v>
      </c>
      <c r="B22" s="74">
        <f>AVERAGE(PROGRESSION!C23:R23)</f>
        <v>8.3333333333333329E-2</v>
      </c>
      <c r="C22" s="74">
        <f>AVERAGE(PROGRESSION!C43:R43)</f>
        <v>8.3333333333333329E-2</v>
      </c>
      <c r="D22" s="77">
        <f t="shared" si="0"/>
        <v>0</v>
      </c>
      <c r="E22" s="78" t="str">
        <f t="shared" si="1"/>
        <v>Tie</v>
      </c>
    </row>
    <row r="23" spans="1:5">
      <c r="A23" s="80">
        <f>PROGRESSION!A24</f>
        <v>31</v>
      </c>
      <c r="B23" s="74">
        <f>AVERAGE(PROGRESSION!C24:R24)</f>
        <v>0.15666666666666668</v>
      </c>
      <c r="C23" s="74">
        <f>AVERAGE(PROGRESSION!C44:R44)</f>
        <v>0.15333333333333332</v>
      </c>
      <c r="D23" s="77">
        <f t="shared" si="0"/>
        <v>3.3333333333333548E-3</v>
      </c>
      <c r="E23" s="78" t="str">
        <f t="shared" si="1"/>
        <v>Tower A</v>
      </c>
    </row>
    <row r="24" spans="1:5">
      <c r="A24" s="80" t="str">
        <f>PROGRESSION!A25</f>
        <v>31M</v>
      </c>
      <c r="B24" s="74">
        <f>AVERAGE(PROGRESSION!C25:R25)</f>
        <v>6.2500000000000003E-3</v>
      </c>
      <c r="C24" s="74">
        <f>AVERAGE(PROGRESSION!C45:R45)</f>
        <v>6.2500000000000003E-3</v>
      </c>
      <c r="D24" s="77">
        <f t="shared" si="0"/>
        <v>0</v>
      </c>
      <c r="E24" s="78" t="str">
        <f t="shared" si="1"/>
        <v>Tie</v>
      </c>
    </row>
    <row r="25" spans="1:5" ht="15" thickBot="1">
      <c r="A25" s="81" t="s">
        <v>92</v>
      </c>
      <c r="B25" s="82">
        <f>AVERAGE(B5:B24)</f>
        <v>0.36022916666666649</v>
      </c>
      <c r="C25" s="82">
        <f>AVERAGE(C5:C24)</f>
        <v>0.34589583333333324</v>
      </c>
      <c r="D25" s="83">
        <f>B25-C25</f>
        <v>1.4333333333333254E-2</v>
      </c>
      <c r="E25" s="81" t="str">
        <f>IF(B25=C25,"Tie",IF(B25&gt;C25,"Tower A","Tower B"))</f>
        <v>Tower A</v>
      </c>
    </row>
    <row r="26" spans="1:5" ht="15" thickTop="1"/>
  </sheetData>
  <mergeCells count="2">
    <mergeCell ref="A1:E1"/>
    <mergeCell ref="A2:E2"/>
  </mergeCells>
  <conditionalFormatting sqref="B5:B24">
    <cfRule type="expression" dxfId="18" priority="3">
      <formula>B5&gt;C5</formula>
    </cfRule>
  </conditionalFormatting>
  <conditionalFormatting sqref="C5:C24">
    <cfRule type="expression" dxfId="17" priority="4">
      <formula>C5&gt;B5</formula>
    </cfRule>
  </conditionalFormatting>
  <conditionalFormatting sqref="D5:D24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0F42-C1E7-480D-BAF5-567710B26EAE}">
  <dimension ref="A1:P25"/>
  <sheetViews>
    <sheetView zoomScale="70" zoomScaleNormal="70" workbookViewId="0">
      <selection activeCell="L33" sqref="L33"/>
    </sheetView>
  </sheetViews>
  <sheetFormatPr defaultRowHeight="14.4"/>
  <cols>
    <col min="1" max="1" width="48.109375" customWidth="1"/>
    <col min="2" max="2" width="37" customWidth="1"/>
    <col min="3" max="3" width="11.109375" customWidth="1"/>
    <col min="4" max="4" width="15.77734375" customWidth="1"/>
    <col min="5" max="6" width="17.5546875" customWidth="1"/>
    <col min="7" max="7" width="15.77734375" customWidth="1"/>
    <col min="8" max="9" width="14.77734375" customWidth="1"/>
    <col min="10" max="10" width="16.6640625" customWidth="1"/>
    <col min="11" max="11" width="24.109375" customWidth="1"/>
    <col min="13" max="13" width="20.33203125" customWidth="1"/>
    <col min="14" max="14" width="15.77734375" customWidth="1"/>
    <col min="15" max="16" width="14.77734375" customWidth="1"/>
  </cols>
  <sheetData>
    <row r="1" spans="1:16" ht="20.399999999999999">
      <c r="A1" s="198" t="s">
        <v>149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</row>
    <row r="2" spans="1:16">
      <c r="A2" s="200" t="str">
        <f>PROGRESSION!A3&amp;"  ·  Blue = qty/floor and ordered"</f>
        <v>Report Date: 29 AUGUST 2026  ·  Blue = qty/floor and ordered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</row>
    <row r="4" spans="1:16">
      <c r="A4" s="59" t="s">
        <v>116</v>
      </c>
      <c r="B4" s="59" t="s">
        <v>117</v>
      </c>
      <c r="C4" s="59" t="s">
        <v>118</v>
      </c>
      <c r="D4" s="59" t="s">
        <v>119</v>
      </c>
      <c r="E4" s="59" t="s">
        <v>120</v>
      </c>
      <c r="F4" s="59" t="s">
        <v>121</v>
      </c>
      <c r="G4" s="59" t="s">
        <v>122</v>
      </c>
      <c r="H4" s="59" t="s">
        <v>123</v>
      </c>
      <c r="I4" s="59" t="s">
        <v>124</v>
      </c>
      <c r="J4" s="59" t="s">
        <v>125</v>
      </c>
      <c r="K4" s="59" t="s">
        <v>126</v>
      </c>
      <c r="M4" s="59" t="s">
        <v>116</v>
      </c>
      <c r="N4" s="59" t="s">
        <v>122</v>
      </c>
      <c r="O4" s="59" t="s">
        <v>123</v>
      </c>
      <c r="P4" s="59" t="s">
        <v>124</v>
      </c>
    </row>
    <row r="5" spans="1:16">
      <c r="A5" s="73" t="s">
        <v>94</v>
      </c>
      <c r="B5" s="57" t="s">
        <v>127</v>
      </c>
      <c r="C5" s="78" t="s">
        <v>128</v>
      </c>
      <c r="D5" s="92">
        <v>1</v>
      </c>
      <c r="E5" s="93" cm="1">
        <f t="array" ref="E5">SUM(IF(ISNUMBER(PROGRESSION!C6:C25),1-PROGRESSION!C6:C25,0))</f>
        <v>1.35</v>
      </c>
      <c r="F5" s="93" cm="1">
        <f t="array" ref="F5">SUM(IF(ISNUMBER(PROGRESSION!C26:C45),1-PROGRESSION!C26:C45,0))</f>
        <v>1.4</v>
      </c>
      <c r="G5" s="94">
        <f>D5*(E5+F5)</f>
        <v>2.75</v>
      </c>
      <c r="H5" s="92">
        <v>0</v>
      </c>
      <c r="I5" s="94">
        <f>G5-H5</f>
        <v>2.75</v>
      </c>
      <c r="J5" s="78" t="str">
        <f>IF(I5&lt;=0,"Complete",IF(H5&gt;0,"Partial","To Order"))</f>
        <v>To Order</v>
      </c>
      <c r="K5" s="95"/>
      <c r="M5" s="73" t="s">
        <v>94</v>
      </c>
      <c r="N5" s="94">
        <f>SUMIF($A$5:$A$23,M5,$G$5:$G$23)</f>
        <v>81.050000000000011</v>
      </c>
      <c r="O5" s="94">
        <f>SUMIF($A$5:$A$23,M5,$H$5:$H$23)</f>
        <v>0</v>
      </c>
      <c r="P5" s="94">
        <f>N5-O5</f>
        <v>81.050000000000011</v>
      </c>
    </row>
    <row r="6" spans="1:16">
      <c r="A6" s="73" t="s">
        <v>94</v>
      </c>
      <c r="B6" s="57" t="s">
        <v>129</v>
      </c>
      <c r="C6" s="78" t="s">
        <v>130</v>
      </c>
      <c r="D6" s="92">
        <v>1</v>
      </c>
      <c r="E6" s="93" cm="1">
        <f t="array" ref="E6">SUM(IF(ISNUMBER(PROGRESSION!F6:F25),1-PROGRESSION!F6:F25,0))</f>
        <v>11</v>
      </c>
      <c r="F6" s="93" cm="1">
        <f t="array" ref="F6">SUM(IF(ISNUMBER(PROGRESSION!F26:F45),1-PROGRESSION!F26:F45,0))</f>
        <v>11</v>
      </c>
      <c r="G6" s="94">
        <f t="shared" ref="G6:G23" si="0">D6*(E6+F6)</f>
        <v>22</v>
      </c>
      <c r="H6" s="92">
        <v>0</v>
      </c>
      <c r="I6" s="94">
        <f t="shared" ref="I6:I23" si="1">G6-H6</f>
        <v>22</v>
      </c>
      <c r="J6" s="78" t="str">
        <f t="shared" ref="J6:J23" si="2">IF(I6&lt;=0,"Complete",IF(H6&gt;0,"Partial","To Order"))</f>
        <v>To Order</v>
      </c>
      <c r="K6" s="95"/>
      <c r="M6" s="75" t="s">
        <v>102</v>
      </c>
      <c r="N6" s="94">
        <f>SUMIF($A$5:$A$23,M6,$G$5:$G$23)</f>
        <v>582.29999999999995</v>
      </c>
      <c r="O6" s="94">
        <f>SUMIF($A$5:$A$23,M6,$H$5:$H$23)</f>
        <v>0</v>
      </c>
      <c r="P6" s="94">
        <f>N6-O6</f>
        <v>582.29999999999995</v>
      </c>
    </row>
    <row r="7" spans="1:16">
      <c r="A7" s="73" t="s">
        <v>94</v>
      </c>
      <c r="B7" s="57" t="s">
        <v>131</v>
      </c>
      <c r="C7" s="78" t="s">
        <v>130</v>
      </c>
      <c r="D7" s="92">
        <v>1</v>
      </c>
      <c r="E7" s="93" cm="1">
        <f t="array" ref="E7">SUM(IF(ISNUMBER(PROGRESSION!H6:H25),1-PROGRESSION!H6:H25,0))</f>
        <v>5.6000000000000014</v>
      </c>
      <c r="F7" s="93" cm="1">
        <f t="array" ref="F7">SUM(IF(ISNUMBER(PROGRESSION!H26:H45),1-PROGRESSION!H26:H45,0))</f>
        <v>6.5000000000000018</v>
      </c>
      <c r="G7" s="94">
        <f t="shared" si="0"/>
        <v>12.100000000000003</v>
      </c>
      <c r="H7" s="92">
        <v>0</v>
      </c>
      <c r="I7" s="94">
        <f t="shared" si="1"/>
        <v>12.100000000000003</v>
      </c>
      <c r="J7" s="78" t="str">
        <f t="shared" si="2"/>
        <v>To Order</v>
      </c>
      <c r="K7" s="95"/>
      <c r="M7" s="76" t="s">
        <v>108</v>
      </c>
      <c r="N7" s="94">
        <f>SUMIF($A$5:$A$23,M7,$G$5:$G$23)</f>
        <v>111.2</v>
      </c>
      <c r="O7" s="94">
        <f>SUMIF($A$5:$A$23,M7,$H$5:$H$23)</f>
        <v>0</v>
      </c>
      <c r="P7" s="94">
        <f>N7-O7</f>
        <v>111.2</v>
      </c>
    </row>
    <row r="8" spans="1:16" ht="15" thickBot="1">
      <c r="A8" s="73" t="s">
        <v>94</v>
      </c>
      <c r="B8" s="57" t="s">
        <v>132</v>
      </c>
      <c r="C8" s="78" t="s">
        <v>130</v>
      </c>
      <c r="D8" s="92">
        <v>1</v>
      </c>
      <c r="E8" s="93" cm="1">
        <f t="array" ref="E8">SUM(IF(ISNUMBER(PROGRESSION!I6:I25),1-PROGRESSION!I6:I25,0))</f>
        <v>17.899999999999999</v>
      </c>
      <c r="F8" s="93" cm="1">
        <f t="array" ref="F8">SUM(IF(ISNUMBER(PROGRESSION!I26:I45),1-PROGRESSION!I26:I45,0))</f>
        <v>17.899999999999999</v>
      </c>
      <c r="G8" s="94">
        <f t="shared" si="0"/>
        <v>35.799999999999997</v>
      </c>
      <c r="H8" s="92">
        <v>0</v>
      </c>
      <c r="I8" s="94">
        <f t="shared" si="1"/>
        <v>35.799999999999997</v>
      </c>
      <c r="J8" s="78" t="str">
        <f t="shared" si="2"/>
        <v>To Order</v>
      </c>
      <c r="K8" s="95"/>
      <c r="M8" s="97" t="s">
        <v>86</v>
      </c>
      <c r="N8" s="99">
        <f>SUM(N5:N7)</f>
        <v>774.55</v>
      </c>
      <c r="O8" s="99">
        <f>SUM(O5:O7)</f>
        <v>0</v>
      </c>
      <c r="P8" s="99">
        <f>SUM(P5:P7)</f>
        <v>774.55</v>
      </c>
    </row>
    <row r="9" spans="1:16" ht="15" thickTop="1">
      <c r="A9" s="73" t="s">
        <v>94</v>
      </c>
      <c r="B9" s="57" t="s">
        <v>133</v>
      </c>
      <c r="C9" s="78" t="s">
        <v>134</v>
      </c>
      <c r="D9" s="92">
        <v>1</v>
      </c>
      <c r="E9" s="93" cm="1">
        <f t="array" ref="E9">SUM(IF(ISNUMBER(PROGRESSION!G6:G25),1-PROGRESSION!G6:G25,0))</f>
        <v>2</v>
      </c>
      <c r="F9" s="93" cm="1">
        <f t="array" ref="F9">SUM(IF(ISNUMBER(PROGRESSION!G26:G45),1-PROGRESSION!G26:G45,0))</f>
        <v>2</v>
      </c>
      <c r="G9" s="94">
        <f t="shared" si="0"/>
        <v>4</v>
      </c>
      <c r="H9" s="92">
        <v>0</v>
      </c>
      <c r="I9" s="94">
        <f t="shared" si="1"/>
        <v>4</v>
      </c>
      <c r="J9" s="78" t="str">
        <f t="shared" si="2"/>
        <v>To Order</v>
      </c>
      <c r="K9" s="95"/>
    </row>
    <row r="10" spans="1:16">
      <c r="A10" s="73" t="s">
        <v>94</v>
      </c>
      <c r="B10" s="57" t="s">
        <v>96</v>
      </c>
      <c r="C10" s="78" t="s">
        <v>135</v>
      </c>
      <c r="D10" s="92">
        <v>1</v>
      </c>
      <c r="E10" s="93" cm="1">
        <f t="array" ref="E10">SUM(IF(ISNUMBER(PROGRESSION!D6:D25),1-PROGRESSION!D6:D25,0))</f>
        <v>1.1000000000000001</v>
      </c>
      <c r="F10" s="93" cm="1">
        <f t="array" ref="F10">SUM(IF(ISNUMBER(PROGRESSION!D26:D45),1-PROGRESSION!D26:D45,0))</f>
        <v>1.1000000000000001</v>
      </c>
      <c r="G10" s="94">
        <f t="shared" si="0"/>
        <v>2.2000000000000002</v>
      </c>
      <c r="H10" s="92">
        <v>0</v>
      </c>
      <c r="I10" s="94">
        <f t="shared" si="1"/>
        <v>2.2000000000000002</v>
      </c>
      <c r="J10" s="78" t="str">
        <f t="shared" si="2"/>
        <v>To Order</v>
      </c>
      <c r="K10" s="95"/>
    </row>
    <row r="11" spans="1:16">
      <c r="A11" s="73" t="s">
        <v>94</v>
      </c>
      <c r="B11" s="57" t="s">
        <v>136</v>
      </c>
      <c r="C11" s="78" t="s">
        <v>135</v>
      </c>
      <c r="D11" s="92">
        <v>1</v>
      </c>
      <c r="E11" s="93" cm="1">
        <f t="array" ref="E11">SUM(IF(ISNUMBER(PROGRESSION!E6:E25),1-PROGRESSION!E6:E25,0))</f>
        <v>1.1000000000000001</v>
      </c>
      <c r="F11" s="93" cm="1">
        <f t="array" ref="F11">SUM(IF(ISNUMBER(PROGRESSION!E26:E45),1-PROGRESSION!E26:E45,0))</f>
        <v>1.1000000000000001</v>
      </c>
      <c r="G11" s="94">
        <f t="shared" si="0"/>
        <v>2.2000000000000002</v>
      </c>
      <c r="H11" s="92">
        <v>0</v>
      </c>
      <c r="I11" s="94">
        <f t="shared" si="1"/>
        <v>2.2000000000000002</v>
      </c>
      <c r="J11" s="78" t="str">
        <f t="shared" si="2"/>
        <v>To Order</v>
      </c>
      <c r="K11" s="95"/>
    </row>
    <row r="12" spans="1:16">
      <c r="A12" s="75" t="s">
        <v>102</v>
      </c>
      <c r="B12" s="57" t="s">
        <v>137</v>
      </c>
      <c r="C12" s="78" t="s">
        <v>128</v>
      </c>
      <c r="D12" s="92">
        <v>6</v>
      </c>
      <c r="E12" s="93" cm="1">
        <f t="array" ref="E12">SUM(IF(ISNUMBER(PROGRESSION!J6:J25),1-PROGRESSION!J6:J25,0))</f>
        <v>12.9</v>
      </c>
      <c r="F12" s="93" cm="1">
        <f t="array" ref="F12">SUM(IF(ISNUMBER(PROGRESSION!J26:J45),1-PROGRESSION!J26:J45,0))</f>
        <v>12.9</v>
      </c>
      <c r="G12" s="94">
        <f t="shared" si="0"/>
        <v>154.80000000000001</v>
      </c>
      <c r="H12" s="92">
        <v>0</v>
      </c>
      <c r="I12" s="94">
        <f t="shared" si="1"/>
        <v>154.80000000000001</v>
      </c>
      <c r="J12" s="78" t="str">
        <f t="shared" si="2"/>
        <v>To Order</v>
      </c>
      <c r="K12" s="95"/>
    </row>
    <row r="13" spans="1:16">
      <c r="A13" s="75" t="s">
        <v>102</v>
      </c>
      <c r="B13" s="57" t="s">
        <v>138</v>
      </c>
      <c r="C13" s="78" t="s">
        <v>128</v>
      </c>
      <c r="D13" s="92">
        <v>6</v>
      </c>
      <c r="E13" s="94">
        <f>E12</f>
        <v>12.9</v>
      </c>
      <c r="F13" s="94">
        <f>F12</f>
        <v>12.9</v>
      </c>
      <c r="G13" s="94">
        <f t="shared" si="0"/>
        <v>154.80000000000001</v>
      </c>
      <c r="H13" s="92">
        <v>0</v>
      </c>
      <c r="I13" s="94">
        <f t="shared" si="1"/>
        <v>154.80000000000001</v>
      </c>
      <c r="J13" s="78" t="str">
        <f t="shared" si="2"/>
        <v>To Order</v>
      </c>
      <c r="K13" s="95"/>
    </row>
    <row r="14" spans="1:16">
      <c r="A14" s="75" t="s">
        <v>102</v>
      </c>
      <c r="B14" s="57" t="s">
        <v>139</v>
      </c>
      <c r="C14" s="78" t="s">
        <v>130</v>
      </c>
      <c r="D14" s="92">
        <v>1</v>
      </c>
      <c r="E14" s="94">
        <f>E12</f>
        <v>12.9</v>
      </c>
      <c r="F14" s="94">
        <f>F12</f>
        <v>12.9</v>
      </c>
      <c r="G14" s="94">
        <f t="shared" si="0"/>
        <v>25.8</v>
      </c>
      <c r="H14" s="92">
        <v>0</v>
      </c>
      <c r="I14" s="94">
        <f t="shared" si="1"/>
        <v>25.8</v>
      </c>
      <c r="J14" s="78" t="str">
        <f t="shared" si="2"/>
        <v>To Order</v>
      </c>
      <c r="K14" s="95"/>
    </row>
    <row r="15" spans="1:16">
      <c r="A15" s="75" t="s">
        <v>102</v>
      </c>
      <c r="B15" s="57" t="s">
        <v>140</v>
      </c>
      <c r="C15" s="78" t="s">
        <v>130</v>
      </c>
      <c r="D15" s="92">
        <v>1</v>
      </c>
      <c r="E15" s="93" cm="1">
        <f t="array" ref="E15">SUM(IF(ISNUMBER(PROGRESSION!L6:L25),1-PROGRESSION!L6:L25,0))</f>
        <v>12.2</v>
      </c>
      <c r="F15" s="93" cm="1">
        <f t="array" ref="F15">SUM(IF(ISNUMBER(PROGRESSION!L26:L45),1-PROGRESSION!L26:L45,0))</f>
        <v>12.2</v>
      </c>
      <c r="G15" s="94">
        <f t="shared" si="0"/>
        <v>24.4</v>
      </c>
      <c r="H15" s="92">
        <v>0</v>
      </c>
      <c r="I15" s="94">
        <f t="shared" si="1"/>
        <v>24.4</v>
      </c>
      <c r="J15" s="78" t="str">
        <f t="shared" si="2"/>
        <v>To Order</v>
      </c>
      <c r="K15" s="95"/>
    </row>
    <row r="16" spans="1:16">
      <c r="A16" s="75" t="s">
        <v>102</v>
      </c>
      <c r="B16" s="57" t="s">
        <v>141</v>
      </c>
      <c r="C16" s="78" t="s">
        <v>130</v>
      </c>
      <c r="D16" s="92">
        <v>1</v>
      </c>
      <c r="E16" s="93" cm="1">
        <f t="array" ref="E16">SUM(IF(ISNUMBER(PROGRESSION!K6:K25),1-PROGRESSION!K6:K25,0))</f>
        <v>13.5</v>
      </c>
      <c r="F16" s="93" cm="1">
        <f t="array" ref="F16">SUM(IF(ISNUMBER(PROGRESSION!K26:K45),1-PROGRESSION!K26:K45,0))</f>
        <v>13.5</v>
      </c>
      <c r="G16" s="94">
        <f t="shared" si="0"/>
        <v>27</v>
      </c>
      <c r="H16" s="92">
        <v>0</v>
      </c>
      <c r="I16" s="94">
        <f t="shared" si="1"/>
        <v>27</v>
      </c>
      <c r="J16" s="78" t="str">
        <f t="shared" si="2"/>
        <v>To Order</v>
      </c>
      <c r="K16" s="95"/>
    </row>
    <row r="17" spans="1:11">
      <c r="A17" s="75" t="s">
        <v>102</v>
      </c>
      <c r="B17" s="57" t="s">
        <v>142</v>
      </c>
      <c r="C17" s="78" t="s">
        <v>128</v>
      </c>
      <c r="D17" s="92">
        <v>4</v>
      </c>
      <c r="E17" s="93" cm="1">
        <f t="array" ref="E17">SUM(IF(ISNUMBER(PROGRESSION!M6:M25),1-PROGRESSION!M6:M25,0))</f>
        <v>9</v>
      </c>
      <c r="F17" s="93" cm="1">
        <f t="array" ref="F17">SUM(IF(ISNUMBER(PROGRESSION!M26:M45),1-PROGRESSION!M26:M45,0))</f>
        <v>11</v>
      </c>
      <c r="G17" s="94">
        <f t="shared" si="0"/>
        <v>80</v>
      </c>
      <c r="H17" s="92">
        <v>0</v>
      </c>
      <c r="I17" s="94">
        <f t="shared" si="1"/>
        <v>80</v>
      </c>
      <c r="J17" s="78" t="str">
        <f t="shared" si="2"/>
        <v>To Order</v>
      </c>
      <c r="K17" s="95"/>
    </row>
    <row r="18" spans="1:11">
      <c r="A18" s="75" t="s">
        <v>102</v>
      </c>
      <c r="B18" s="57" t="s">
        <v>143</v>
      </c>
      <c r="C18" s="78" t="s">
        <v>128</v>
      </c>
      <c r="D18" s="92">
        <v>4</v>
      </c>
      <c r="E18" s="94">
        <f>E17</f>
        <v>9</v>
      </c>
      <c r="F18" s="94">
        <f>F17</f>
        <v>11</v>
      </c>
      <c r="G18" s="94">
        <f t="shared" si="0"/>
        <v>80</v>
      </c>
      <c r="H18" s="92">
        <v>0</v>
      </c>
      <c r="I18" s="94">
        <f t="shared" si="1"/>
        <v>80</v>
      </c>
      <c r="J18" s="78" t="str">
        <f t="shared" si="2"/>
        <v>To Order</v>
      </c>
      <c r="K18" s="95"/>
    </row>
    <row r="19" spans="1:11">
      <c r="A19" s="75" t="s">
        <v>102</v>
      </c>
      <c r="B19" s="57" t="s">
        <v>144</v>
      </c>
      <c r="C19" s="78" t="s">
        <v>130</v>
      </c>
      <c r="D19" s="92">
        <v>1</v>
      </c>
      <c r="E19" s="93" cm="1">
        <f t="array" ref="E19">SUM(IF(ISNUMBER(PROGRESSION!N6:N25),1-PROGRESSION!N6:N25,0))</f>
        <v>17.5</v>
      </c>
      <c r="F19" s="93" cm="1">
        <f t="array" ref="F19">SUM(IF(ISNUMBER(PROGRESSION!N26:N45),1-PROGRESSION!N26:N45,0))</f>
        <v>18</v>
      </c>
      <c r="G19" s="94">
        <f t="shared" si="0"/>
        <v>35.5</v>
      </c>
      <c r="H19" s="92">
        <v>0</v>
      </c>
      <c r="I19" s="94">
        <f t="shared" si="1"/>
        <v>35.5</v>
      </c>
      <c r="J19" s="78" t="str">
        <f t="shared" si="2"/>
        <v>To Order</v>
      </c>
      <c r="K19" s="95"/>
    </row>
    <row r="20" spans="1:11">
      <c r="A20" s="76" t="s">
        <v>108</v>
      </c>
      <c r="B20" s="57" t="s">
        <v>145</v>
      </c>
      <c r="C20" s="78" t="s">
        <v>128</v>
      </c>
      <c r="D20" s="92">
        <v>1</v>
      </c>
      <c r="E20" s="93" cm="1">
        <f t="array" ref="E20">SUM(IF(ISNUMBER(PROGRESSION!O6:O25),1-PROGRESSION!O6:O25,0))</f>
        <v>14.5</v>
      </c>
      <c r="F20" s="93" cm="1">
        <f t="array" ref="F20">SUM(IF(ISNUMBER(PROGRESSION!O26:O45),1-PROGRESSION!O26:O45,0))</f>
        <v>14.5</v>
      </c>
      <c r="G20" s="94">
        <f t="shared" si="0"/>
        <v>29</v>
      </c>
      <c r="H20" s="92">
        <v>0</v>
      </c>
      <c r="I20" s="94">
        <f t="shared" si="1"/>
        <v>29</v>
      </c>
      <c r="J20" s="78" t="str">
        <f t="shared" si="2"/>
        <v>To Order</v>
      </c>
      <c r="K20" s="95"/>
    </row>
    <row r="21" spans="1:11">
      <c r="A21" s="76" t="s">
        <v>108</v>
      </c>
      <c r="B21" s="57" t="s">
        <v>146</v>
      </c>
      <c r="C21" s="78" t="s">
        <v>128</v>
      </c>
      <c r="D21" s="92">
        <v>1</v>
      </c>
      <c r="E21" s="93" cm="1">
        <f t="array" ref="E21">SUM(IF(ISNUMBER(PROGRESSION!P6:P25),1-PROGRESSION!P6:P25,0))</f>
        <v>19.100000000000001</v>
      </c>
      <c r="F21" s="93" cm="1">
        <f t="array" ref="F21">SUM(IF(ISNUMBER(PROGRESSION!P26:P45),1-PROGRESSION!P26:P45,0))</f>
        <v>19.100000000000001</v>
      </c>
      <c r="G21" s="94">
        <f t="shared" si="0"/>
        <v>38.200000000000003</v>
      </c>
      <c r="H21" s="92">
        <v>0</v>
      </c>
      <c r="I21" s="94">
        <f t="shared" si="1"/>
        <v>38.200000000000003</v>
      </c>
      <c r="J21" s="78" t="str">
        <f t="shared" si="2"/>
        <v>To Order</v>
      </c>
      <c r="K21" s="95"/>
    </row>
    <row r="22" spans="1:11">
      <c r="A22" s="76" t="s">
        <v>108</v>
      </c>
      <c r="B22" s="57" t="s">
        <v>147</v>
      </c>
      <c r="C22" s="78" t="s">
        <v>130</v>
      </c>
      <c r="D22" s="92">
        <v>1</v>
      </c>
      <c r="E22" s="93" cm="1">
        <f t="array" ref="E22">SUM(IF(ISNUMBER(PROGRESSION!Q6:Q25),1-PROGRESSION!Q6:Q25,0))</f>
        <v>20</v>
      </c>
      <c r="F22" s="93" cm="1">
        <f t="array" ref="F22">SUM(IF(ISNUMBER(PROGRESSION!Q26:Q45),1-PROGRESSION!Q26:Q45,0))</f>
        <v>20</v>
      </c>
      <c r="G22" s="94">
        <f t="shared" si="0"/>
        <v>40</v>
      </c>
      <c r="H22" s="92">
        <v>0</v>
      </c>
      <c r="I22" s="94">
        <f t="shared" si="1"/>
        <v>40</v>
      </c>
      <c r="J22" s="78" t="str">
        <f t="shared" si="2"/>
        <v>To Order</v>
      </c>
      <c r="K22" s="95"/>
    </row>
    <row r="23" spans="1:11">
      <c r="A23" s="76" t="s">
        <v>108</v>
      </c>
      <c r="B23" s="57" t="s">
        <v>148</v>
      </c>
      <c r="C23" s="78" t="s">
        <v>135</v>
      </c>
      <c r="D23" s="92">
        <v>1</v>
      </c>
      <c r="E23" s="93" cm="1">
        <f t="array" ref="E23">SUM(IF(ISNUMBER(PROGRESSION!R6:R25),1-PROGRESSION!R6:R25,0))</f>
        <v>2</v>
      </c>
      <c r="F23" s="93" cm="1">
        <f t="array" ref="F23">SUM(IF(ISNUMBER(PROGRESSION!R26:R45),1-PROGRESSION!R26:R45,0))</f>
        <v>2</v>
      </c>
      <c r="G23" s="94">
        <f t="shared" si="0"/>
        <v>4</v>
      </c>
      <c r="H23" s="92">
        <v>0</v>
      </c>
      <c r="I23" s="94">
        <f t="shared" si="1"/>
        <v>4</v>
      </c>
      <c r="J23" s="78" t="str">
        <f t="shared" si="2"/>
        <v>To Order</v>
      </c>
      <c r="K23" s="95"/>
    </row>
    <row r="24" spans="1:11" ht="15" thickBot="1">
      <c r="A24" s="96" t="s">
        <v>86</v>
      </c>
      <c r="B24" s="97"/>
      <c r="C24" s="98"/>
      <c r="D24" s="98"/>
      <c r="E24" s="99">
        <f>SUM(E5:E23)</f>
        <v>195.55</v>
      </c>
      <c r="F24" s="99">
        <f>SUM(F5:F23)</f>
        <v>201</v>
      </c>
      <c r="G24" s="99">
        <f>SUM(G5:G23)</f>
        <v>774.55000000000007</v>
      </c>
      <c r="H24" s="99">
        <f>SUM(H5:H23)</f>
        <v>0</v>
      </c>
      <c r="I24" s="99">
        <f>SUM(I5:I23)</f>
        <v>774.55000000000007</v>
      </c>
      <c r="J24" s="98"/>
      <c r="K24" s="98"/>
    </row>
    <row r="25" spans="1:11" ht="15" thickTop="1"/>
  </sheetData>
  <mergeCells count="2">
    <mergeCell ref="A1:K1"/>
    <mergeCell ref="A2:K2"/>
  </mergeCells>
  <conditionalFormatting sqref="I5:I23">
    <cfRule type="cellIs" dxfId="14" priority="5" operator="greaterThan">
      <formula>0</formula>
    </cfRule>
  </conditionalFormatting>
  <conditionalFormatting sqref="J5:J23">
    <cfRule type="containsText" priority="1" operator="containsText" text="Text">
      <formula>NOT(ISERROR(SEARCH("Text",J5)))</formula>
    </cfRule>
    <cfRule type="expression" dxfId="13" priority="2">
      <formula>$J5="To Order"</formula>
    </cfRule>
    <cfRule type="expression" dxfId="12" priority="3">
      <formula>$J5="Partial"</formula>
    </cfRule>
    <cfRule type="expression" dxfId="11" priority="4">
      <formula>$J5="Complete"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B2D8-7B23-4DF8-A9D4-0715BAC2C977}">
  <dimension ref="A1:F29"/>
  <sheetViews>
    <sheetView zoomScale="85" zoomScaleNormal="85" workbookViewId="0">
      <selection activeCell="Y12" sqref="Y12"/>
    </sheetView>
  </sheetViews>
  <sheetFormatPr defaultRowHeight="14.4"/>
  <cols>
    <col min="1" max="1" width="42.5546875" customWidth="1"/>
    <col min="2" max="2" width="25.88671875" customWidth="1"/>
    <col min="3" max="4" width="18.5546875" customWidth="1"/>
    <col min="5" max="5" width="13" customWidth="1"/>
    <col min="6" max="6" width="16.6640625" customWidth="1"/>
  </cols>
  <sheetData>
    <row r="1" spans="1:6" ht="20.399999999999999">
      <c r="A1" s="198" t="s">
        <v>150</v>
      </c>
      <c r="B1" s="198"/>
      <c r="C1" s="198"/>
      <c r="D1" s="198"/>
      <c r="E1" s="198"/>
      <c r="F1" s="198"/>
    </row>
    <row r="2" spans="1:6">
      <c r="A2" s="200" t="str">
        <f>PROGRESSION!A3</f>
        <v>Report Date: 29 AUGUST 2026</v>
      </c>
      <c r="B2" s="200"/>
      <c r="C2" s="200"/>
      <c r="D2" s="200"/>
      <c r="E2" s="200"/>
      <c r="F2" s="200"/>
    </row>
    <row r="4" spans="1:6">
      <c r="A4" s="59" t="s">
        <v>151</v>
      </c>
      <c r="B4" s="59" t="s">
        <v>94</v>
      </c>
      <c r="C4" s="59" t="s">
        <v>102</v>
      </c>
      <c r="D4" s="59" t="s">
        <v>108</v>
      </c>
      <c r="E4" s="59" t="s">
        <v>152</v>
      </c>
      <c r="F4" s="59" t="s">
        <v>153</v>
      </c>
    </row>
    <row r="5" spans="1:6" ht="18">
      <c r="A5" s="100">
        <f>(PROGRESSION!G4+PROGRESSION!L4+PROGRESSION!Q4)/3</f>
        <v>0.28567857142857139</v>
      </c>
      <c r="B5" s="101">
        <f>PROGRESSION!G4</f>
        <v>0.44053571428571425</v>
      </c>
      <c r="C5" s="102">
        <f>PROGRESSION!L4</f>
        <v>0.33649999999999997</v>
      </c>
      <c r="D5" s="103">
        <f>PROGRESSION!Q4</f>
        <v>0.08</v>
      </c>
      <c r="E5" s="104">
        <f>COUNTA(Sheet2!C3:C29)</f>
        <v>27</v>
      </c>
      <c r="F5" s="105">
        <f>Sheet2!D30</f>
        <v>15900</v>
      </c>
    </row>
    <row r="7" spans="1:6">
      <c r="A7" s="60" t="s">
        <v>154</v>
      </c>
      <c r="B7" s="95" t="s">
        <v>155</v>
      </c>
      <c r="C7" s="60" t="s">
        <v>156</v>
      </c>
      <c r="D7" s="95" t="s">
        <v>157</v>
      </c>
    </row>
    <row r="8" spans="1:6">
      <c r="A8" s="60" t="s">
        <v>158</v>
      </c>
      <c r="B8" s="201" t="s">
        <v>182</v>
      </c>
      <c r="C8" s="201"/>
      <c r="D8" s="201"/>
      <c r="E8" s="201"/>
      <c r="F8" s="201"/>
    </row>
    <row r="9" spans="1:6">
      <c r="A9" s="60" t="s">
        <v>159</v>
      </c>
      <c r="B9" s="150"/>
      <c r="C9" s="150"/>
      <c r="D9" s="150"/>
      <c r="E9" s="150"/>
      <c r="F9" s="150"/>
    </row>
    <row r="10" spans="1:6">
      <c r="A10" s="60" t="s">
        <v>160</v>
      </c>
      <c r="B10" s="150"/>
      <c r="C10" s="150"/>
      <c r="D10" s="150"/>
      <c r="E10" s="150"/>
      <c r="F10" s="150"/>
    </row>
    <row r="12" spans="1:6">
      <c r="A12" s="59" t="s">
        <v>93</v>
      </c>
      <c r="B12" s="59" t="s">
        <v>161</v>
      </c>
      <c r="C12" s="59" t="s">
        <v>125</v>
      </c>
      <c r="D12" s="59" t="s">
        <v>162</v>
      </c>
    </row>
    <row r="13" spans="1:6">
      <c r="A13" s="79" t="str">
        <f>Sheet1!C5</f>
        <v>PIPE SLEEVE</v>
      </c>
      <c r="B13" s="74">
        <f>Sheet1!E5</f>
        <v>0.93125000000000013</v>
      </c>
      <c r="C13" s="79" t="str">
        <f>Sheet1!F5</f>
        <v>In Progress</v>
      </c>
      <c r="D13" s="79" t="str">
        <f>Sheet1!D5</f>
        <v>suhairi</v>
      </c>
    </row>
    <row r="14" spans="1:6">
      <c r="A14" s="79" t="str">
        <f>Sheet1!C6</f>
        <v>PUMP</v>
      </c>
      <c r="B14" s="74">
        <f>Sheet1!E6</f>
        <v>0.45</v>
      </c>
      <c r="C14" s="79" t="str">
        <f>Sheet1!F6</f>
        <v>In Progress</v>
      </c>
      <c r="D14" s="79" t="str">
        <f>Sheet1!D6</f>
        <v>n/a</v>
      </c>
    </row>
    <row r="15" spans="1:6">
      <c r="A15" s="79" t="str">
        <f>Sheet1!C7</f>
        <v>PUMP CONTROL PANEL</v>
      </c>
      <c r="B15" s="74">
        <f>Sheet1!E7</f>
        <v>0.45</v>
      </c>
      <c r="C15" s="79" t="str">
        <f>Sheet1!F7</f>
        <v>In Progress</v>
      </c>
      <c r="D15" s="79">
        <f>Sheet1!D7</f>
        <v>0</v>
      </c>
    </row>
    <row r="16" spans="1:6">
      <c r="A16" s="79" t="str">
        <f>Sheet1!C8</f>
        <v xml:space="preserve">TRANSFER PUMP PIPES </v>
      </c>
      <c r="B16" s="74">
        <f>Sheet1!E8</f>
        <v>0.45</v>
      </c>
      <c r="C16" s="79" t="str">
        <f>Sheet1!F8</f>
        <v>In Progress</v>
      </c>
      <c r="D16" s="79" t="str">
        <f>Sheet1!D8</f>
        <v>subs-aryan</v>
      </c>
    </row>
    <row r="17" spans="1:4">
      <c r="A17" s="79" t="str">
        <f>Sheet1!C9</f>
        <v>L31 &amp; 31M ROOF PIPING</v>
      </c>
      <c r="B17" s="74">
        <f>Sheet1!E9</f>
        <v>0</v>
      </c>
      <c r="C17" s="79" t="str">
        <f>Sheet1!F9</f>
        <v>Not Started</v>
      </c>
      <c r="D17" s="79">
        <f>Sheet1!D9</f>
        <v>0</v>
      </c>
    </row>
    <row r="18" spans="1:4">
      <c r="A18" s="79" t="str">
        <f>Sheet1!C10</f>
        <v>CW TENANT</v>
      </c>
      <c r="B18" s="74">
        <f>Sheet1!E10</f>
        <v>0.69749999999999956</v>
      </c>
      <c r="C18" s="79" t="str">
        <f>Sheet1!F10</f>
        <v>In Progress</v>
      </c>
      <c r="D18" s="79" t="str">
        <f>Sheet1!D10</f>
        <v>asgar</v>
      </c>
    </row>
    <row r="19" spans="1:4">
      <c r="A19" s="79" t="str">
        <f>Sheet1!C11</f>
        <v>BACKSHAFT CW &amp; FW TOILETS</v>
      </c>
      <c r="B19" s="74">
        <f>Sheet1!E11</f>
        <v>0.10499999999999998</v>
      </c>
      <c r="C19" s="79" t="str">
        <f>Sheet1!F11</f>
        <v>In Progress</v>
      </c>
      <c r="D19" s="79" t="str">
        <f>Sheet1!D11</f>
        <v>jillur/sarip</v>
      </c>
    </row>
    <row r="20" spans="1:4">
      <c r="A20" s="79" t="str">
        <f>Sheet1!C12</f>
        <v>HOSEREEL FLOORTRAP &amp; STACK</v>
      </c>
      <c r="B20" s="74">
        <f>Sheet1!E12</f>
        <v>0.35499999999999998</v>
      </c>
      <c r="C20" s="79" t="str">
        <f>Sheet1!F12</f>
        <v>In Progress</v>
      </c>
      <c r="D20" s="79" t="str">
        <f>Sheet1!D12</f>
        <v>emon</v>
      </c>
    </row>
    <row r="21" spans="1:4">
      <c r="A21" s="79" t="str">
        <f>Sheet1!C13</f>
        <v>SANITARY TENANT</v>
      </c>
      <c r="B21" s="74">
        <f>Sheet1!E13</f>
        <v>0.32500000000000001</v>
      </c>
      <c r="C21" s="79" t="str">
        <f>Sheet1!F13</f>
        <v>In Progress</v>
      </c>
      <c r="D21" s="79">
        <f>Sheet1!D13</f>
        <v>0</v>
      </c>
    </row>
    <row r="22" spans="1:4">
      <c r="A22" s="79" t="str">
        <f>Sheet1!C14</f>
        <v>TOILET PIPE DISTRIBUTION &amp; HACKING</v>
      </c>
      <c r="B22" s="74">
        <f>Sheet1!E14</f>
        <v>0.39</v>
      </c>
      <c r="C22" s="79" t="str">
        <f>Sheet1!F14</f>
        <v>In Progress</v>
      </c>
      <c r="D22" s="79" t="str">
        <f>Sheet1!D14</f>
        <v>bilal</v>
      </c>
    </row>
    <row r="23" spans="1:4">
      <c r="A23" s="79" t="str">
        <f>Sheet1!C15</f>
        <v>SANITARY TOILETS TOWER A</v>
      </c>
      <c r="B23" s="74">
        <f>Sheet1!E15</f>
        <v>0.55000000000000004</v>
      </c>
      <c r="C23" s="79" t="str">
        <f>Sheet1!F15</f>
        <v>In Progress</v>
      </c>
      <c r="D23" s="79" t="str">
        <f>Sheet1!D15</f>
        <v>subs-aipoon</v>
      </c>
    </row>
    <row r="24" spans="1:4">
      <c r="A24" s="79" t="str">
        <f>Sheet1!C16</f>
        <v>SANITARY TOILETS TOWER B</v>
      </c>
      <c r="B24" s="74">
        <f>Sheet1!E16</f>
        <v>0.45</v>
      </c>
      <c r="C24" s="79" t="str">
        <f>Sheet1!F16</f>
        <v>In Progress</v>
      </c>
      <c r="D24" s="79">
        <f>Sheet1!D16</f>
        <v>0</v>
      </c>
    </row>
    <row r="25" spans="1:4">
      <c r="A25" s="79" t="str">
        <f>Sheet1!C17</f>
        <v>SANITARY WARES INSTALLATION</v>
      </c>
      <c r="B25" s="74">
        <f>Sheet1!E17</f>
        <v>0.1125</v>
      </c>
      <c r="C25" s="79" t="str">
        <f>Sheet1!F17</f>
        <v>In Progress</v>
      </c>
      <c r="D25" s="79" t="str">
        <f>Sheet1!D17</f>
        <v>jiarul</v>
      </c>
    </row>
    <row r="26" spans="1:4">
      <c r="A26" s="79" t="str">
        <f>Sheet1!C18</f>
        <v>IRRIGATION OUTLET</v>
      </c>
      <c r="B26" s="74">
        <f>Sheet1!E18</f>
        <v>0.27500000000000002</v>
      </c>
      <c r="C26" s="79" t="str">
        <f>Sheet1!F18</f>
        <v>In Progress</v>
      </c>
      <c r="D26" s="79" t="str">
        <f>Sheet1!D18</f>
        <v>juwel</v>
      </c>
    </row>
    <row r="27" spans="1:4">
      <c r="A27" s="79" t="str">
        <f>Sheet1!C19</f>
        <v>IRRIGATION INLET</v>
      </c>
      <c r="B27" s="74">
        <f>Sheet1!E19</f>
        <v>4.4999999999999998E-2</v>
      </c>
      <c r="C27" s="79" t="str">
        <f>Sheet1!F19</f>
        <v>In Progress</v>
      </c>
      <c r="D27" s="79">
        <f>Sheet1!D19</f>
        <v>0</v>
      </c>
    </row>
    <row r="28" spans="1:4">
      <c r="A28" s="79" t="str">
        <f>Sheet1!C20</f>
        <v>IRRIGATION WIRING</v>
      </c>
      <c r="B28" s="74">
        <f>Sheet1!E20</f>
        <v>0</v>
      </c>
      <c r="C28" s="79" t="str">
        <f>Sheet1!F20</f>
        <v>Not Started</v>
      </c>
      <c r="D28" s="79">
        <f>Sheet1!D20</f>
        <v>0</v>
      </c>
    </row>
    <row r="29" spans="1:4">
      <c r="A29" s="79" t="str">
        <f>Sheet1!C21</f>
        <v>IRRIGATION CONTROL PANEL</v>
      </c>
      <c r="B29" s="74">
        <f>Sheet1!E21</f>
        <v>0</v>
      </c>
      <c r="C29" s="79" t="str">
        <f>Sheet1!F21</f>
        <v>Not Started</v>
      </c>
      <c r="D29" s="79">
        <f>Sheet1!D21</f>
        <v>0</v>
      </c>
    </row>
  </sheetData>
  <mergeCells count="5">
    <mergeCell ref="A1:F1"/>
    <mergeCell ref="A2:F2"/>
    <mergeCell ref="B8:F8"/>
    <mergeCell ref="B9:F9"/>
    <mergeCell ref="B10:F10"/>
  </mergeCells>
  <conditionalFormatting sqref="C13:C29">
    <cfRule type="expression" dxfId="10" priority="1">
      <formula>$C13="In Progress"</formula>
    </cfRule>
    <cfRule type="expression" dxfId="9" priority="2">
      <formula>$C13="Not Started"</formula>
    </cfRule>
    <cfRule type="expression" dxfId="8" priority="3">
      <formula>$C13="Complete"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DDC4-C368-4B82-A9F8-454BBA426F97}">
  <dimension ref="A1:M18"/>
  <sheetViews>
    <sheetView topLeftCell="B1" zoomScale="70" zoomScaleNormal="70" workbookViewId="0">
      <selection activeCell="Y12" sqref="Y12"/>
    </sheetView>
  </sheetViews>
  <sheetFormatPr defaultRowHeight="14.4"/>
  <cols>
    <col min="1" max="1" width="25.88671875" customWidth="1"/>
    <col min="2" max="2" width="14.77734375" customWidth="1"/>
    <col min="3" max="3" width="37" customWidth="1"/>
    <col min="4" max="4" width="20.33203125" customWidth="1"/>
    <col min="5" max="6" width="11.109375" customWidth="1"/>
    <col min="7" max="7" width="16.6640625" customWidth="1"/>
    <col min="8" max="8" width="14.77734375" customWidth="1"/>
    <col min="9" max="9" width="16.6640625" customWidth="1"/>
    <col min="10" max="10" width="22.21875" customWidth="1"/>
    <col min="12" max="12" width="20.33203125" customWidth="1"/>
    <col min="13" max="13" width="11.109375" customWidth="1"/>
  </cols>
  <sheetData>
    <row r="1" spans="1:13" ht="20.399999999999999">
      <c r="A1" s="198" t="s">
        <v>163</v>
      </c>
      <c r="B1" s="198"/>
      <c r="C1" s="198"/>
      <c r="D1" s="198"/>
      <c r="E1" s="198"/>
      <c r="F1" s="198"/>
      <c r="G1" s="198"/>
      <c r="H1" s="198"/>
      <c r="I1" s="198"/>
      <c r="J1" s="198"/>
    </row>
    <row r="2" spans="1:13">
      <c r="A2" s="200" t="str">
        <f>PROGRESSION!A3</f>
        <v>Report Date: 29 AUGUST 2026</v>
      </c>
      <c r="B2" s="200"/>
      <c r="C2" s="200"/>
      <c r="D2" s="200"/>
      <c r="E2" s="200"/>
      <c r="F2" s="200"/>
      <c r="G2" s="200"/>
      <c r="H2" s="200"/>
      <c r="I2" s="200"/>
      <c r="J2" s="200"/>
    </row>
    <row r="4" spans="1:13">
      <c r="A4" s="59" t="s">
        <v>164</v>
      </c>
      <c r="B4" s="59" t="s">
        <v>165</v>
      </c>
      <c r="C4" s="59" t="s">
        <v>117</v>
      </c>
      <c r="D4" s="59" t="s">
        <v>166</v>
      </c>
      <c r="E4" s="59" t="s">
        <v>167</v>
      </c>
      <c r="F4" s="59" t="s">
        <v>118</v>
      </c>
      <c r="G4" s="59" t="s">
        <v>168</v>
      </c>
      <c r="H4" s="59" t="s">
        <v>125</v>
      </c>
      <c r="I4" s="59" t="s">
        <v>169</v>
      </c>
      <c r="J4" s="59" t="s">
        <v>126</v>
      </c>
      <c r="L4" s="59" t="s">
        <v>170</v>
      </c>
      <c r="M4" s="59" t="s">
        <v>171</v>
      </c>
    </row>
    <row r="5" spans="1:13">
      <c r="A5" s="106"/>
      <c r="B5" s="95"/>
      <c r="C5" s="95"/>
      <c r="D5" s="95"/>
      <c r="E5" s="92"/>
      <c r="F5" s="78" t="str">
        <f>IF(C5="","",_xlfn.XLOOKUP(C5,ORDER!B$5:B$23,ORDER!C$5:C$23))</f>
        <v/>
      </c>
      <c r="G5" s="107"/>
      <c r="H5" s="95"/>
      <c r="I5" s="106"/>
      <c r="J5" s="95"/>
      <c r="L5" s="57" t="s">
        <v>172</v>
      </c>
      <c r="M5" s="109">
        <f>COUNTIF(ORDER!J5:J23,"To Order")</f>
        <v>19</v>
      </c>
    </row>
    <row r="6" spans="1:13">
      <c r="A6" s="106"/>
      <c r="B6" s="95"/>
      <c r="C6" s="95"/>
      <c r="D6" s="95"/>
      <c r="E6" s="92"/>
      <c r="F6" s="78" t="str">
        <f>IF(C6="","",_xlfn.XLOOKUP(C6,ORDER!B$5:B$23,ORDER!C$5:C$23))</f>
        <v/>
      </c>
      <c r="G6" s="107"/>
      <c r="H6" s="95"/>
      <c r="I6" s="106"/>
      <c r="J6" s="95"/>
      <c r="L6" s="57" t="s">
        <v>173</v>
      </c>
      <c r="M6" s="109">
        <f>COUNTIF(ORDER!J5:J23,"Partial")</f>
        <v>0</v>
      </c>
    </row>
    <row r="7" spans="1:13">
      <c r="A7" s="106"/>
      <c r="B7" s="95"/>
      <c r="C7" s="95"/>
      <c r="D7" s="95"/>
      <c r="E7" s="92"/>
      <c r="F7" s="78" t="str">
        <f>IF(C7="","",_xlfn.XLOOKUP(C7,ORDER!B$5:B$23,ORDER!C$5:C$23))</f>
        <v/>
      </c>
      <c r="G7" s="107"/>
      <c r="H7" s="95"/>
      <c r="I7" s="106"/>
      <c r="J7" s="95"/>
      <c r="L7" s="57" t="s">
        <v>174</v>
      </c>
      <c r="M7" s="109">
        <f>COUNTIF(ORDER!J5:J23,"Complete")</f>
        <v>0</v>
      </c>
    </row>
    <row r="8" spans="1:13">
      <c r="A8" s="106"/>
      <c r="B8" s="95"/>
      <c r="C8" s="95"/>
      <c r="D8" s="95"/>
      <c r="E8" s="92"/>
      <c r="F8" s="78" t="str">
        <f>IF(C8="","",_xlfn.XLOOKUP(C8,ORDER!B$5:B$23,ORDER!C$5:C$23))</f>
        <v/>
      </c>
      <c r="G8" s="107"/>
      <c r="H8" s="95"/>
      <c r="I8" s="106"/>
      <c r="J8" s="95"/>
    </row>
    <row r="9" spans="1:13">
      <c r="A9" s="106"/>
      <c r="B9" s="95"/>
      <c r="C9" s="95"/>
      <c r="D9" s="95"/>
      <c r="E9" s="92"/>
      <c r="F9" s="78" t="str">
        <f>IF(C9="","",_xlfn.XLOOKUP(C9,ORDER!B$5:B$23,ORDER!C$5:C$23))</f>
        <v/>
      </c>
      <c r="G9" s="107"/>
      <c r="H9" s="95"/>
      <c r="I9" s="106"/>
      <c r="J9" s="95"/>
    </row>
    <row r="10" spans="1:13">
      <c r="A10" s="106"/>
      <c r="B10" s="95"/>
      <c r="C10" s="95"/>
      <c r="D10" s="95"/>
      <c r="E10" s="92"/>
      <c r="F10" s="78" t="str">
        <f>IF(C10="","",_xlfn.XLOOKUP(C10,ORDER!B$5:B$23,ORDER!C$5:C$23))</f>
        <v/>
      </c>
      <c r="G10" s="107"/>
      <c r="H10" s="95"/>
      <c r="I10" s="106"/>
      <c r="J10" s="95"/>
    </row>
    <row r="11" spans="1:13">
      <c r="A11" s="106"/>
      <c r="B11" s="95"/>
      <c r="C11" s="95"/>
      <c r="D11" s="95"/>
      <c r="E11" s="92"/>
      <c r="F11" s="78" t="str">
        <f>IF(C11="","",_xlfn.XLOOKUP(C11,ORDER!B$5:B$23,ORDER!C$5:C$23))</f>
        <v/>
      </c>
      <c r="G11" s="107"/>
      <c r="H11" s="95"/>
      <c r="I11" s="106"/>
      <c r="J11" s="95"/>
    </row>
    <row r="12" spans="1:13">
      <c r="A12" s="106"/>
      <c r="B12" s="95"/>
      <c r="C12" s="95"/>
      <c r="D12" s="95"/>
      <c r="E12" s="92"/>
      <c r="F12" s="78" t="str">
        <f>IF(C12="","",_xlfn.XLOOKUP(C12,ORDER!B$5:B$23,ORDER!C$5:C$23))</f>
        <v/>
      </c>
      <c r="G12" s="107"/>
      <c r="H12" s="95"/>
      <c r="I12" s="106"/>
      <c r="J12" s="95"/>
    </row>
    <row r="13" spans="1:13">
      <c r="A13" s="106"/>
      <c r="B13" s="95"/>
      <c r="C13" s="95"/>
      <c r="D13" s="95"/>
      <c r="E13" s="92"/>
      <c r="F13" s="78" t="str">
        <f>IF(C13="","",_xlfn.XLOOKUP(C13,ORDER!B$5:B$23,ORDER!C$5:C$23))</f>
        <v/>
      </c>
      <c r="G13" s="107"/>
      <c r="H13" s="95"/>
      <c r="I13" s="106"/>
      <c r="J13" s="95"/>
    </row>
    <row r="14" spans="1:13">
      <c r="A14" s="106"/>
      <c r="B14" s="95"/>
      <c r="C14" s="95"/>
      <c r="D14" s="95"/>
      <c r="E14" s="92"/>
      <c r="F14" s="78" t="str">
        <f>IF(C14="","",_xlfn.XLOOKUP(C14,ORDER!B$5:B$23,ORDER!C$5:C$23))</f>
        <v/>
      </c>
      <c r="G14" s="107"/>
      <c r="H14" s="95"/>
      <c r="I14" s="106"/>
      <c r="J14" s="95"/>
    </row>
    <row r="15" spans="1:13">
      <c r="A15" s="106"/>
      <c r="B15" s="95"/>
      <c r="C15" s="95"/>
      <c r="D15" s="95"/>
      <c r="E15" s="92"/>
      <c r="F15" s="78" t="str">
        <f>IF(C15="","",_xlfn.XLOOKUP(C15,ORDER!B$5:B$23,ORDER!C$5:C$23))</f>
        <v/>
      </c>
      <c r="G15" s="107"/>
      <c r="H15" s="95"/>
      <c r="I15" s="106"/>
      <c r="J15" s="95"/>
    </row>
    <row r="16" spans="1:13">
      <c r="A16" s="106"/>
      <c r="B16" s="95"/>
      <c r="C16" s="95"/>
      <c r="D16" s="95"/>
      <c r="E16" s="92"/>
      <c r="F16" s="78" t="str">
        <f>IF(C16="","",_xlfn.XLOOKUP(C16,ORDER!B$5:B$23,ORDER!C$5:C$23))</f>
        <v/>
      </c>
      <c r="G16" s="107"/>
      <c r="H16" s="95"/>
      <c r="I16" s="106"/>
      <c r="J16" s="95"/>
    </row>
    <row r="17" spans="1:8" ht="15" thickBot="1">
      <c r="A17" s="97" t="s">
        <v>86</v>
      </c>
      <c r="E17" s="99">
        <f>SUM(E5:E16)</f>
        <v>0</v>
      </c>
      <c r="G17" s="108">
        <f>SUM(G5:G16)</f>
        <v>0</v>
      </c>
      <c r="H17" s="97" t="str">
        <f>COUNTA(H5:H16)&amp;" POs"</f>
        <v>0 POs</v>
      </c>
    </row>
    <row r="18" spans="1:8" ht="15" thickTop="1"/>
  </sheetData>
  <mergeCells count="2">
    <mergeCell ref="A1:J1"/>
    <mergeCell ref="A2:J2"/>
  </mergeCells>
  <conditionalFormatting sqref="H5:H16">
    <cfRule type="expression" dxfId="7" priority="1">
      <formula>$H5="Issued"</formula>
    </cfRule>
    <cfRule type="expression" dxfId="6" priority="2">
      <formula>$H5="Delivered"</formula>
    </cfRule>
  </conditionalFormatting>
  <dataValidations count="1">
    <dataValidation type="list" allowBlank="1" showInputMessage="1" showErrorMessage="1" sqref="H5:H16" xr:uid="{01390845-5C9F-4F64-A09D-5621704C94A2}">
      <formula1>"Draft,Issued,Partial,Delivered"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210127-3912-4EE8-BB3C-EEBEB744B909}">
          <x14:formula1>
            <xm:f>ORDER!$B$5:$B$23</xm:f>
          </x14:formula1>
          <xm:sqref>C5:C16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90B3-BFCF-4194-91B5-690C4D494033}">
  <dimension ref="A1:H36"/>
  <sheetViews>
    <sheetView zoomScale="85" zoomScaleNormal="85" workbookViewId="0">
      <selection activeCell="Y12" sqref="Y12"/>
    </sheetView>
  </sheetViews>
  <sheetFormatPr defaultRowHeight="14.4"/>
  <cols>
    <col min="1" max="1" width="25.88671875" customWidth="1"/>
    <col min="2" max="2" width="14.77734375" customWidth="1"/>
    <col min="3" max="3" width="13" customWidth="1"/>
    <col min="4" max="4" width="16.6640625" customWidth="1"/>
    <col min="6" max="6" width="20.33203125" customWidth="1"/>
    <col min="7" max="7" width="14.77734375" customWidth="1"/>
    <col min="8" max="8" width="16.6640625" customWidth="1"/>
  </cols>
  <sheetData>
    <row r="1" spans="1:8" ht="20.399999999999999">
      <c r="A1" s="198" t="s">
        <v>175</v>
      </c>
      <c r="B1" s="198"/>
      <c r="C1" s="198"/>
      <c r="D1" s="198"/>
    </row>
    <row r="2" spans="1:8">
      <c r="A2" s="200" t="str">
        <f>PROGRESSION!A3</f>
        <v>Report Date: 29 AUGUST 2026</v>
      </c>
      <c r="B2" s="200"/>
      <c r="C2" s="200"/>
      <c r="D2" s="200"/>
    </row>
    <row r="4" spans="1:8">
      <c r="A4" s="59" t="s">
        <v>176</v>
      </c>
      <c r="B4" s="59" t="s">
        <v>153</v>
      </c>
      <c r="C4" s="59" t="s">
        <v>151</v>
      </c>
      <c r="D4" s="59" t="s">
        <v>177</v>
      </c>
      <c r="F4" s="59" t="s">
        <v>116</v>
      </c>
      <c r="G4" s="59" t="s">
        <v>161</v>
      </c>
      <c r="H4" s="59" t="s">
        <v>181</v>
      </c>
    </row>
    <row r="5" spans="1:8" ht="18">
      <c r="A5" s="110">
        <f>SUM(C8:C34)</f>
        <v>27</v>
      </c>
      <c r="B5" s="111">
        <f>SUM(D8:D34)</f>
        <v>15900</v>
      </c>
      <c r="C5" s="100">
        <f>('SITE REPORT'!A5)</f>
        <v>0.28567857142857139</v>
      </c>
      <c r="D5" s="111">
        <f>IF(C5=0,"",B5/(C5*100))</f>
        <v>556.56957119639958</v>
      </c>
      <c r="F5" s="73" t="s">
        <v>94</v>
      </c>
      <c r="G5" s="74">
        <f>PROGRESSION!G4</f>
        <v>0.44053571428571425</v>
      </c>
      <c r="H5" s="115">
        <f>1-G5</f>
        <v>0.55946428571428575</v>
      </c>
    </row>
    <row r="6" spans="1:8">
      <c r="F6" s="75" t="s">
        <v>102</v>
      </c>
      <c r="G6" s="74">
        <f>PROGRESSION!L4</f>
        <v>0.33649999999999997</v>
      </c>
      <c r="H6" s="115">
        <f>1-G6</f>
        <v>0.66349999999999998</v>
      </c>
    </row>
    <row r="7" spans="1:8">
      <c r="A7" s="59" t="s">
        <v>178</v>
      </c>
      <c r="B7" s="59" t="s">
        <v>179</v>
      </c>
      <c r="C7" s="59" t="s">
        <v>176</v>
      </c>
      <c r="D7" s="59" t="s">
        <v>180</v>
      </c>
      <c r="F7" s="116" t="s">
        <v>108</v>
      </c>
      <c r="G7" s="74">
        <f>PROGRESSION!Q4</f>
        <v>0.08</v>
      </c>
      <c r="H7" s="115">
        <f>1-G7</f>
        <v>0.92</v>
      </c>
    </row>
    <row r="8" spans="1:8">
      <c r="A8" s="79" t="str">
        <f>Sheet2!C3</f>
        <v>SUPAHAM</v>
      </c>
      <c r="B8" s="112">
        <f>Sheet2!D3</f>
        <v>2000</v>
      </c>
      <c r="C8" s="113">
        <v>1</v>
      </c>
      <c r="D8" s="114">
        <f>IF(ISNUMBER(B8),B8*C8,0)</f>
        <v>2000</v>
      </c>
    </row>
    <row r="9" spans="1:8">
      <c r="A9" s="79" t="str">
        <f>Sheet2!C4</f>
        <v>SOLIHIN</v>
      </c>
      <c r="B9" s="112">
        <f>Sheet2!D4</f>
        <v>1000</v>
      </c>
      <c r="C9" s="113">
        <v>1</v>
      </c>
      <c r="D9" s="114">
        <f t="shared" ref="D9:D34" si="0">IF(ISNUMBER(B9),B9*C9,0)</f>
        <v>1000</v>
      </c>
    </row>
    <row r="10" spans="1:8">
      <c r="A10" s="79" t="str">
        <f>Sheet2!C5</f>
        <v>ASGAR</v>
      </c>
      <c r="B10" s="112">
        <f>Sheet2!D5</f>
        <v>500</v>
      </c>
      <c r="C10" s="113">
        <v>1</v>
      </c>
      <c r="D10" s="114">
        <f t="shared" si="0"/>
        <v>500</v>
      </c>
    </row>
    <row r="11" spans="1:8">
      <c r="A11" s="79" t="str">
        <f>Sheet2!C6</f>
        <v>SUHAIRI</v>
      </c>
      <c r="B11" s="112">
        <f>Sheet2!D6</f>
        <v>700</v>
      </c>
      <c r="C11" s="113">
        <v>1</v>
      </c>
      <c r="D11" s="114">
        <f t="shared" si="0"/>
        <v>700</v>
      </c>
    </row>
    <row r="12" spans="1:8">
      <c r="A12" s="79" t="str">
        <f>Sheet2!C7</f>
        <v>BILAL</v>
      </c>
      <c r="B12" s="112">
        <f>Sheet2!D7</f>
        <v>500</v>
      </c>
      <c r="C12" s="113">
        <v>1</v>
      </c>
      <c r="D12" s="114">
        <f t="shared" si="0"/>
        <v>500</v>
      </c>
    </row>
    <row r="13" spans="1:8">
      <c r="A13" s="79" t="str">
        <f>Sheet2!C8</f>
        <v>JUWEL</v>
      </c>
      <c r="B13" s="112">
        <f>Sheet2!D8</f>
        <v>500</v>
      </c>
      <c r="C13" s="113">
        <v>1</v>
      </c>
      <c r="D13" s="114">
        <f t="shared" si="0"/>
        <v>500</v>
      </c>
    </row>
    <row r="14" spans="1:8">
      <c r="A14" s="79" t="str">
        <f>Sheet2!C9</f>
        <v>JILLUR</v>
      </c>
      <c r="B14" s="112">
        <f>Sheet2!D9</f>
        <v>500</v>
      </c>
      <c r="C14" s="113">
        <v>1</v>
      </c>
      <c r="D14" s="114">
        <f t="shared" si="0"/>
        <v>500</v>
      </c>
    </row>
    <row r="15" spans="1:8">
      <c r="A15" s="79" t="str">
        <f>Sheet2!C10</f>
        <v>SARIP</v>
      </c>
      <c r="B15" s="112">
        <f>Sheet2!D10</f>
        <v>700</v>
      </c>
      <c r="C15" s="113">
        <v>1</v>
      </c>
      <c r="D15" s="114">
        <f t="shared" si="0"/>
        <v>700</v>
      </c>
    </row>
    <row r="16" spans="1:8">
      <c r="A16" s="79" t="str">
        <f>Sheet2!C11</f>
        <v>EMON</v>
      </c>
      <c r="B16" s="112">
        <f>Sheet2!D11</f>
        <v>500</v>
      </c>
      <c r="C16" s="113">
        <v>1</v>
      </c>
      <c r="D16" s="114">
        <f t="shared" si="0"/>
        <v>500</v>
      </c>
    </row>
    <row r="17" spans="1:4">
      <c r="A17" s="79" t="str">
        <f>Sheet2!C12</f>
        <v>IBNU</v>
      </c>
      <c r="B17" s="112">
        <f>Sheet2!D12</f>
        <v>500</v>
      </c>
      <c r="C17" s="113">
        <v>1</v>
      </c>
      <c r="D17" s="114">
        <f t="shared" si="0"/>
        <v>500</v>
      </c>
    </row>
    <row r="18" spans="1:4">
      <c r="A18" s="79" t="str">
        <f>Sheet2!C13</f>
        <v>KAMAL</v>
      </c>
      <c r="B18" s="112">
        <f>Sheet2!D13</f>
        <v>500</v>
      </c>
      <c r="C18" s="113">
        <v>1</v>
      </c>
      <c r="D18" s="114">
        <f t="shared" si="0"/>
        <v>500</v>
      </c>
    </row>
    <row r="19" spans="1:4">
      <c r="A19" s="79" t="str">
        <f>Sheet2!C14</f>
        <v>YASIN</v>
      </c>
      <c r="B19" s="112">
        <f>Sheet2!D14</f>
        <v>500</v>
      </c>
      <c r="C19" s="113">
        <v>1</v>
      </c>
      <c r="D19" s="114">
        <f t="shared" si="0"/>
        <v>500</v>
      </c>
    </row>
    <row r="20" spans="1:4">
      <c r="A20" s="79" t="str">
        <f>Sheet2!C15</f>
        <v>SOFIKUL</v>
      </c>
      <c r="B20" s="112">
        <f>Sheet2!D15</f>
        <v>1000</v>
      </c>
      <c r="C20" s="113">
        <v>1</v>
      </c>
      <c r="D20" s="114">
        <f t="shared" si="0"/>
        <v>1000</v>
      </c>
    </row>
    <row r="21" spans="1:4">
      <c r="A21" s="79" t="str">
        <f>Sheet2!C16</f>
        <v>NAZMUL</v>
      </c>
      <c r="B21" s="112">
        <f>Sheet2!D16</f>
        <v>500</v>
      </c>
      <c r="C21" s="113">
        <v>1</v>
      </c>
      <c r="D21" s="114">
        <f t="shared" si="0"/>
        <v>500</v>
      </c>
    </row>
    <row r="22" spans="1:4">
      <c r="A22" s="79" t="str">
        <f>Sheet2!C17</f>
        <v>MAHMUD</v>
      </c>
      <c r="B22" s="112">
        <f>Sheet2!D17</f>
        <v>500</v>
      </c>
      <c r="C22" s="113">
        <v>1</v>
      </c>
      <c r="D22" s="114">
        <f t="shared" si="0"/>
        <v>500</v>
      </c>
    </row>
    <row r="23" spans="1:4">
      <c r="A23" s="79" t="str">
        <f>Sheet2!C18</f>
        <v>NURUL</v>
      </c>
      <c r="B23" s="112">
        <f>Sheet2!D18</f>
        <v>500</v>
      </c>
      <c r="C23" s="113">
        <v>1</v>
      </c>
      <c r="D23" s="114">
        <f t="shared" si="0"/>
        <v>500</v>
      </c>
    </row>
    <row r="24" spans="1:4">
      <c r="A24" s="79" t="str">
        <f>Sheet2!C19</f>
        <v>JIARUL</v>
      </c>
      <c r="B24" s="112" t="str">
        <f>Sheet2!D19</f>
        <v>n/a</v>
      </c>
      <c r="C24" s="113">
        <v>1</v>
      </c>
      <c r="D24" s="114">
        <f t="shared" si="0"/>
        <v>0</v>
      </c>
    </row>
    <row r="25" spans="1:4">
      <c r="A25" s="79" t="str">
        <f>Sheet2!C20</f>
        <v>SUPENDI</v>
      </c>
      <c r="B25" s="112">
        <f>Sheet2!D20</f>
        <v>500</v>
      </c>
      <c r="C25" s="113">
        <v>1</v>
      </c>
      <c r="D25" s="114">
        <f t="shared" si="0"/>
        <v>500</v>
      </c>
    </row>
    <row r="26" spans="1:4">
      <c r="A26" s="79" t="str">
        <f>Sheet2!C21</f>
        <v>RANA</v>
      </c>
      <c r="B26" s="112">
        <f>Sheet2!D21</f>
        <v>500</v>
      </c>
      <c r="C26" s="113">
        <v>1</v>
      </c>
      <c r="D26" s="114">
        <f t="shared" si="0"/>
        <v>500</v>
      </c>
    </row>
    <row r="27" spans="1:4">
      <c r="A27" s="79" t="str">
        <f>Sheet2!C22</f>
        <v>ASHRAFUL</v>
      </c>
      <c r="B27" s="112">
        <f>Sheet2!D22</f>
        <v>500</v>
      </c>
      <c r="C27" s="113">
        <v>1</v>
      </c>
      <c r="D27" s="114">
        <f t="shared" si="0"/>
        <v>500</v>
      </c>
    </row>
    <row r="28" spans="1:4">
      <c r="A28" s="79" t="str">
        <f>Sheet2!C23</f>
        <v>FARHAD</v>
      </c>
      <c r="B28" s="112">
        <f>Sheet2!D23</f>
        <v>500</v>
      </c>
      <c r="C28" s="113">
        <v>1</v>
      </c>
      <c r="D28" s="114">
        <f t="shared" si="0"/>
        <v>500</v>
      </c>
    </row>
    <row r="29" spans="1:4">
      <c r="A29" s="79" t="str">
        <f>Sheet2!C24</f>
        <v>BADOL</v>
      </c>
      <c r="B29" s="112">
        <f>Sheet2!D24</f>
        <v>500</v>
      </c>
      <c r="C29" s="113">
        <v>1</v>
      </c>
      <c r="D29" s="114">
        <f t="shared" si="0"/>
        <v>500</v>
      </c>
    </row>
    <row r="30" spans="1:4">
      <c r="A30" s="79" t="str">
        <f>Sheet2!C25</f>
        <v>ISLAM</v>
      </c>
      <c r="B30" s="112">
        <f>Sheet2!D25</f>
        <v>500</v>
      </c>
      <c r="C30" s="113">
        <v>1</v>
      </c>
      <c r="D30" s="114">
        <f t="shared" si="0"/>
        <v>500</v>
      </c>
    </row>
    <row r="31" spans="1:4">
      <c r="A31" s="79" t="str">
        <f>Sheet2!C26</f>
        <v>SYAHIB</v>
      </c>
      <c r="B31" s="112">
        <f>Sheet2!D26</f>
        <v>500</v>
      </c>
      <c r="C31" s="113">
        <v>1</v>
      </c>
      <c r="D31" s="114">
        <f t="shared" si="0"/>
        <v>500</v>
      </c>
    </row>
    <row r="32" spans="1:4">
      <c r="A32" s="79" t="str">
        <f>Sheet2!C27</f>
        <v>AMIRUL</v>
      </c>
      <c r="B32" s="112">
        <f>Sheet2!D27</f>
        <v>500</v>
      </c>
      <c r="C32" s="113">
        <v>1</v>
      </c>
      <c r="D32" s="114">
        <f t="shared" si="0"/>
        <v>500</v>
      </c>
    </row>
    <row r="33" spans="1:4">
      <c r="A33" s="79" t="str">
        <f>Sheet2!C28</f>
        <v>DAMIL</v>
      </c>
      <c r="B33" s="112">
        <f>Sheet2!D28</f>
        <v>500</v>
      </c>
      <c r="C33" s="113">
        <v>1</v>
      </c>
      <c r="D33" s="114">
        <f t="shared" si="0"/>
        <v>500</v>
      </c>
    </row>
    <row r="34" spans="1:4">
      <c r="A34" s="79" t="str">
        <f>Sheet2!C29</f>
        <v>KAMAL</v>
      </c>
      <c r="B34" s="112">
        <f>Sheet2!D29</f>
        <v>500</v>
      </c>
      <c r="C34" s="113">
        <v>1</v>
      </c>
      <c r="D34" s="114">
        <f t="shared" si="0"/>
        <v>500</v>
      </c>
    </row>
    <row r="35" spans="1:4" ht="15" thickBot="1">
      <c r="A35" s="97" t="s">
        <v>86</v>
      </c>
      <c r="B35" s="98"/>
      <c r="C35" s="117">
        <f>SUM(C8:C34)</f>
        <v>27</v>
      </c>
      <c r="D35" s="108">
        <f>SUM(D8:D34)</f>
        <v>15900</v>
      </c>
    </row>
    <row r="36" spans="1:4" ht="15" thickTop="1"/>
  </sheetData>
  <mergeCells count="2">
    <mergeCell ref="A1:D1"/>
    <mergeCell ref="A2:D2"/>
  </mergeCells>
  <dataValidations count="1">
    <dataValidation type="list" allowBlank="1" showInputMessage="1" showErrorMessage="1" sqref="C8:C34" xr:uid="{279365D2-7D53-4DD4-96D2-A4609970F7D5}">
      <formula1>"0,1"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409E-F2C0-47D6-8938-B2C7E9F9D760}">
  <sheetPr>
    <tabColor rgb="FF1F4E78"/>
  </sheetPr>
  <dimension ref="A1:L48"/>
  <sheetViews>
    <sheetView tabSelected="1" zoomScale="40" zoomScaleNormal="40" workbookViewId="0">
      <selection activeCell="E42" sqref="E42:F45"/>
    </sheetView>
  </sheetViews>
  <sheetFormatPr defaultRowHeight="14.4"/>
  <cols>
    <col min="1" max="12" width="31.44140625" customWidth="1"/>
  </cols>
  <sheetData>
    <row r="1" spans="1:12" ht="28.05" customHeight="1">
      <c r="A1" s="153" t="s">
        <v>226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</row>
    <row r="2" spans="1:12" ht="19.05" customHeight="1">
      <c r="A2" s="154" t="str">
        <f>PROGRESSION!A3</f>
        <v>Report Date: 29 AUGUST 2026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1:12">
      <c r="A3" s="131" t="s">
        <v>214</v>
      </c>
      <c r="B3" s="147" t="s">
        <v>215</v>
      </c>
      <c r="C3" s="131" t="s">
        <v>216</v>
      </c>
      <c r="D3" s="147" t="s">
        <v>217</v>
      </c>
      <c r="E3" s="131" t="s">
        <v>218</v>
      </c>
      <c r="F3" s="149" t="s">
        <v>219</v>
      </c>
      <c r="G3" s="131" t="s">
        <v>220</v>
      </c>
      <c r="H3" s="149" t="s">
        <v>233</v>
      </c>
      <c r="I3" s="131" t="s">
        <v>221</v>
      </c>
      <c r="J3" s="148" t="s">
        <v>234</v>
      </c>
      <c r="K3" s="131" t="s">
        <v>222</v>
      </c>
      <c r="L3" s="148" t="s">
        <v>235</v>
      </c>
    </row>
    <row r="4" spans="1:12">
      <c r="A4" s="132" t="s">
        <v>183</v>
      </c>
      <c r="B4" s="133">
        <v>50</v>
      </c>
      <c r="C4" s="132" t="s">
        <v>184</v>
      </c>
      <c r="D4" s="133">
        <v>30</v>
      </c>
      <c r="E4" s="128"/>
      <c r="F4" s="128"/>
      <c r="G4" s="128"/>
      <c r="H4" s="128"/>
      <c r="I4" s="128"/>
      <c r="J4" s="128"/>
      <c r="K4" s="128"/>
      <c r="L4" s="128"/>
    </row>
    <row r="5" spans="1:12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</row>
    <row r="6" spans="1:12" ht="22.95" customHeight="1">
      <c r="A6" s="155" t="s">
        <v>228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</row>
    <row r="7" spans="1:12" ht="34.049999999999997" customHeight="1">
      <c r="A7" s="134" t="s">
        <v>113</v>
      </c>
      <c r="B7" s="134" t="s">
        <v>185</v>
      </c>
      <c r="C7" s="134" t="s">
        <v>138</v>
      </c>
      <c r="D7" s="134" t="s">
        <v>186</v>
      </c>
      <c r="E7" s="134" t="s">
        <v>187</v>
      </c>
      <c r="F7" s="134" t="s">
        <v>188</v>
      </c>
      <c r="G7" s="134" t="s">
        <v>189</v>
      </c>
      <c r="H7" s="134" t="s">
        <v>190</v>
      </c>
      <c r="I7" s="134" t="s">
        <v>161</v>
      </c>
      <c r="J7" s="134" t="s">
        <v>212</v>
      </c>
      <c r="K7" s="134" t="s">
        <v>213</v>
      </c>
      <c r="L7" s="134" t="s">
        <v>124</v>
      </c>
    </row>
    <row r="8" spans="1:12">
      <c r="A8" s="135">
        <v>24</v>
      </c>
      <c r="B8" s="136">
        <v>7</v>
      </c>
      <c r="C8" s="136">
        <v>16</v>
      </c>
      <c r="D8" s="136">
        <v>3</v>
      </c>
      <c r="E8" s="136">
        <v>3</v>
      </c>
      <c r="F8" s="139">
        <f t="shared" ref="F8" si="0">(B8+C8+D8+E8)*$B$4</f>
        <v>1450</v>
      </c>
      <c r="G8" s="136">
        <v>4</v>
      </c>
      <c r="H8" s="139">
        <f t="shared" ref="H8" si="1">F8*G8</f>
        <v>5800</v>
      </c>
      <c r="I8" s="137">
        <v>0.5</v>
      </c>
      <c r="J8" s="139">
        <f>H8*I8*$H$18/$H$16</f>
        <v>2461.5384615384614</v>
      </c>
      <c r="K8" s="141">
        <v>0</v>
      </c>
      <c r="L8" s="142">
        <f>J8-K8</f>
        <v>2461.5384615384614</v>
      </c>
    </row>
    <row r="9" spans="1:12">
      <c r="A9" s="135">
        <v>25</v>
      </c>
      <c r="B9" s="136">
        <v>7</v>
      </c>
      <c r="C9" s="136">
        <v>16</v>
      </c>
      <c r="D9" s="136">
        <v>3</v>
      </c>
      <c r="E9" s="136">
        <v>3</v>
      </c>
      <c r="F9" s="139">
        <f t="shared" ref="F9:F15" si="2">(B9+C9+D9+E9)*$B$4</f>
        <v>1450</v>
      </c>
      <c r="G9" s="136">
        <v>4</v>
      </c>
      <c r="H9" s="139">
        <f t="shared" ref="H9:H15" si="3">F9*G9</f>
        <v>5800</v>
      </c>
      <c r="I9" s="137">
        <v>0.5</v>
      </c>
      <c r="J9" s="139">
        <f>H9*I9*$H$18/$H$16</f>
        <v>2461.5384615384614</v>
      </c>
      <c r="K9" s="141">
        <v>0</v>
      </c>
      <c r="L9" s="142">
        <f>J9-K9</f>
        <v>2461.5384615384614</v>
      </c>
    </row>
    <row r="10" spans="1:12">
      <c r="A10" s="135">
        <v>26</v>
      </c>
      <c r="B10" s="136">
        <v>7</v>
      </c>
      <c r="C10" s="136">
        <v>16</v>
      </c>
      <c r="D10" s="136">
        <v>3</v>
      </c>
      <c r="E10" s="136">
        <v>3</v>
      </c>
      <c r="F10" s="140">
        <f t="shared" si="2"/>
        <v>1450</v>
      </c>
      <c r="G10" s="136">
        <v>4</v>
      </c>
      <c r="H10" s="140">
        <f t="shared" si="3"/>
        <v>5800</v>
      </c>
      <c r="I10" s="137">
        <f>PROGRESSION!M19</f>
        <v>0</v>
      </c>
      <c r="J10" s="139">
        <f t="shared" ref="J10:J15" si="4">H10*I10*$H$18/$H$16</f>
        <v>0</v>
      </c>
      <c r="K10" s="141">
        <v>0</v>
      </c>
      <c r="L10" s="142">
        <f t="shared" ref="L10:L15" si="5">J10-K10</f>
        <v>0</v>
      </c>
    </row>
    <row r="11" spans="1:12">
      <c r="A11" s="135">
        <v>27</v>
      </c>
      <c r="B11" s="136">
        <v>7</v>
      </c>
      <c r="C11" s="136">
        <v>16</v>
      </c>
      <c r="D11" s="136">
        <v>3</v>
      </c>
      <c r="E11" s="136">
        <v>3</v>
      </c>
      <c r="F11" s="140">
        <f t="shared" si="2"/>
        <v>1450</v>
      </c>
      <c r="G11" s="136">
        <v>4</v>
      </c>
      <c r="H11" s="140">
        <f t="shared" si="3"/>
        <v>5800</v>
      </c>
      <c r="I11" s="137">
        <f>PROGRESSION!M20</f>
        <v>1</v>
      </c>
      <c r="J11" s="139">
        <f t="shared" si="4"/>
        <v>4923.0769230769229</v>
      </c>
      <c r="K11" s="141">
        <v>0</v>
      </c>
      <c r="L11" s="142">
        <f t="shared" si="5"/>
        <v>4923.0769230769229</v>
      </c>
    </row>
    <row r="12" spans="1:12">
      <c r="A12" s="135">
        <v>28</v>
      </c>
      <c r="B12" s="136">
        <v>7</v>
      </c>
      <c r="C12" s="136">
        <v>16</v>
      </c>
      <c r="D12" s="136">
        <v>3</v>
      </c>
      <c r="E12" s="136">
        <v>3</v>
      </c>
      <c r="F12" s="140">
        <f t="shared" si="2"/>
        <v>1450</v>
      </c>
      <c r="G12" s="136">
        <v>4</v>
      </c>
      <c r="H12" s="140">
        <f t="shared" si="3"/>
        <v>5800</v>
      </c>
      <c r="I12" s="137">
        <f>PROGRESSION!M21</f>
        <v>0</v>
      </c>
      <c r="J12" s="139">
        <f t="shared" si="4"/>
        <v>0</v>
      </c>
      <c r="K12" s="141">
        <v>0</v>
      </c>
      <c r="L12" s="142">
        <f t="shared" si="5"/>
        <v>0</v>
      </c>
    </row>
    <row r="13" spans="1:12">
      <c r="A13" s="135">
        <v>29</v>
      </c>
      <c r="B13" s="136">
        <v>7</v>
      </c>
      <c r="C13" s="136">
        <v>16</v>
      </c>
      <c r="D13" s="136">
        <v>3</v>
      </c>
      <c r="E13" s="136">
        <v>3</v>
      </c>
      <c r="F13" s="140">
        <f t="shared" si="2"/>
        <v>1450</v>
      </c>
      <c r="G13" s="136">
        <v>4</v>
      </c>
      <c r="H13" s="140">
        <f t="shared" si="3"/>
        <v>5800</v>
      </c>
      <c r="I13" s="137">
        <f>PROGRESSION!M22</f>
        <v>0</v>
      </c>
      <c r="J13" s="139">
        <f t="shared" si="4"/>
        <v>0</v>
      </c>
      <c r="K13" s="141">
        <v>0</v>
      </c>
      <c r="L13" s="142">
        <f t="shared" si="5"/>
        <v>0</v>
      </c>
    </row>
    <row r="14" spans="1:12">
      <c r="A14" s="135">
        <v>30</v>
      </c>
      <c r="B14" s="136">
        <v>7</v>
      </c>
      <c r="C14" s="136">
        <v>16</v>
      </c>
      <c r="D14" s="136">
        <v>3</v>
      </c>
      <c r="E14" s="136">
        <v>3</v>
      </c>
      <c r="F14" s="140">
        <f t="shared" si="2"/>
        <v>1450</v>
      </c>
      <c r="G14" s="136">
        <v>4</v>
      </c>
      <c r="H14" s="140">
        <f t="shared" si="3"/>
        <v>5800</v>
      </c>
      <c r="I14" s="137">
        <f>PROGRESSION!M23</f>
        <v>0</v>
      </c>
      <c r="J14" s="139">
        <f t="shared" si="4"/>
        <v>0</v>
      </c>
      <c r="K14" s="141">
        <v>0</v>
      </c>
      <c r="L14" s="142">
        <f t="shared" si="5"/>
        <v>0</v>
      </c>
    </row>
    <row r="15" spans="1:12">
      <c r="A15" s="135">
        <v>31</v>
      </c>
      <c r="B15" s="136">
        <v>7</v>
      </c>
      <c r="C15" s="136">
        <v>16</v>
      </c>
      <c r="D15" s="136">
        <v>3</v>
      </c>
      <c r="E15" s="136">
        <v>3</v>
      </c>
      <c r="F15" s="140">
        <f t="shared" si="2"/>
        <v>1450</v>
      </c>
      <c r="G15" s="136">
        <v>2</v>
      </c>
      <c r="H15" s="140">
        <f t="shared" si="3"/>
        <v>2900</v>
      </c>
      <c r="I15" s="137">
        <f>PROGRESSION!M24</f>
        <v>0</v>
      </c>
      <c r="J15" s="139">
        <f t="shared" si="4"/>
        <v>0</v>
      </c>
      <c r="K15" s="141">
        <v>0</v>
      </c>
      <c r="L15" s="142">
        <f t="shared" si="5"/>
        <v>0</v>
      </c>
    </row>
    <row r="16" spans="1:12">
      <c r="A16" s="129" t="s">
        <v>191</v>
      </c>
      <c r="B16" s="128"/>
      <c r="C16" s="128"/>
      <c r="D16" s="128"/>
      <c r="E16" s="128"/>
      <c r="F16" s="128"/>
      <c r="G16" s="128"/>
      <c r="H16" s="124">
        <f>SUM(H9:H15)</f>
        <v>37700</v>
      </c>
      <c r="I16" s="128"/>
      <c r="J16" s="124">
        <f>SUM(J9:J15)</f>
        <v>7384.6153846153848</v>
      </c>
      <c r="K16" s="124">
        <f>SUM(K9:K15)</f>
        <v>0</v>
      </c>
      <c r="L16" s="124">
        <f>J16-K16</f>
        <v>7384.6153846153848</v>
      </c>
    </row>
    <row r="17" spans="1:12">
      <c r="A17" s="128" t="s">
        <v>192</v>
      </c>
      <c r="B17" s="128"/>
      <c r="C17" s="128"/>
      <c r="D17" s="128"/>
      <c r="E17" s="128"/>
      <c r="F17" s="128"/>
      <c r="G17" s="128"/>
      <c r="H17" s="125">
        <v>-5700</v>
      </c>
      <c r="I17" s="128"/>
      <c r="J17" s="128"/>
      <c r="K17" s="128"/>
      <c r="L17" s="128"/>
    </row>
    <row r="18" spans="1:12" ht="15" thickBot="1">
      <c r="A18" s="130" t="s">
        <v>193</v>
      </c>
      <c r="B18" s="128"/>
      <c r="C18" s="128"/>
      <c r="D18" s="128"/>
      <c r="E18" s="128"/>
      <c r="F18" s="128"/>
      <c r="G18" s="128"/>
      <c r="H18" s="126">
        <f>H16+H17</f>
        <v>32000</v>
      </c>
      <c r="I18" s="128"/>
      <c r="J18" s="126">
        <f>J16</f>
        <v>7384.6153846153848</v>
      </c>
      <c r="K18" s="126">
        <f>K16</f>
        <v>0</v>
      </c>
      <c r="L18" s="126">
        <f>L16</f>
        <v>7384.6153846153848</v>
      </c>
    </row>
    <row r="19" spans="1:12" ht="22.95" customHeight="1" thickTop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</row>
    <row r="20" spans="1:12" ht="34.049999999999997" customHeight="1">
      <c r="A20" s="155" t="s">
        <v>229</v>
      </c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</row>
    <row r="21" spans="1:12">
      <c r="A21" s="134" t="s">
        <v>113</v>
      </c>
      <c r="B21" s="134" t="s">
        <v>194</v>
      </c>
      <c r="C21" s="134" t="s">
        <v>195</v>
      </c>
      <c r="D21" s="134" t="s">
        <v>196</v>
      </c>
      <c r="E21" s="134" t="s">
        <v>187</v>
      </c>
      <c r="F21" s="134"/>
      <c r="G21" s="134"/>
      <c r="H21" s="134" t="s">
        <v>190</v>
      </c>
      <c r="I21" s="134" t="s">
        <v>161</v>
      </c>
      <c r="J21" s="134" t="s">
        <v>212</v>
      </c>
      <c r="K21" s="134" t="s">
        <v>213</v>
      </c>
      <c r="L21" s="134" t="s">
        <v>124</v>
      </c>
    </row>
    <row r="22" spans="1:12">
      <c r="A22" s="135">
        <v>25</v>
      </c>
      <c r="B22" s="136">
        <v>12</v>
      </c>
      <c r="C22" s="136">
        <v>12</v>
      </c>
      <c r="D22" s="136">
        <v>12</v>
      </c>
      <c r="E22" s="136">
        <v>12</v>
      </c>
      <c r="F22" s="138"/>
      <c r="G22" s="143"/>
      <c r="H22" s="139">
        <f t="shared" ref="H22:H28" si="6">(B22+C22+D22+E22)*$D$4</f>
        <v>1440</v>
      </c>
      <c r="I22" s="137">
        <f>PROGRESSION!K18</f>
        <v>0</v>
      </c>
      <c r="J22" s="139">
        <f>H22*I22*$H$31/$H$29</f>
        <v>0</v>
      </c>
      <c r="K22" s="141">
        <v>0</v>
      </c>
      <c r="L22" s="142">
        <f>J22-K22</f>
        <v>0</v>
      </c>
    </row>
    <row r="23" spans="1:12">
      <c r="A23" s="135">
        <v>26</v>
      </c>
      <c r="B23" s="136">
        <v>12</v>
      </c>
      <c r="C23" s="136">
        <v>12</v>
      </c>
      <c r="D23" s="136">
        <v>12</v>
      </c>
      <c r="E23" s="136">
        <v>12</v>
      </c>
      <c r="F23" s="138"/>
      <c r="G23" s="143"/>
      <c r="H23" s="140">
        <f t="shared" si="6"/>
        <v>1440</v>
      </c>
      <c r="I23" s="137">
        <f>PROGRESSION!K19</f>
        <v>0</v>
      </c>
      <c r="J23" s="139">
        <f t="shared" ref="J23:J28" si="7">H23*I23*$H$31/$H$29</f>
        <v>0</v>
      </c>
      <c r="K23" s="141">
        <v>0</v>
      </c>
      <c r="L23" s="142">
        <f t="shared" ref="L23:L28" si="8">J23-K23</f>
        <v>0</v>
      </c>
    </row>
    <row r="24" spans="1:12">
      <c r="A24" s="135">
        <v>27</v>
      </c>
      <c r="B24" s="136">
        <v>12</v>
      </c>
      <c r="C24" s="136">
        <v>12</v>
      </c>
      <c r="D24" s="136">
        <v>12</v>
      </c>
      <c r="E24" s="136">
        <v>12</v>
      </c>
      <c r="F24" s="138"/>
      <c r="G24" s="143"/>
      <c r="H24" s="140">
        <f t="shared" si="6"/>
        <v>1440</v>
      </c>
      <c r="I24" s="137">
        <v>1</v>
      </c>
      <c r="J24" s="139">
        <f t="shared" si="7"/>
        <v>1428.5714285714287</v>
      </c>
      <c r="K24" s="141">
        <v>0</v>
      </c>
      <c r="L24" s="142">
        <f t="shared" si="8"/>
        <v>1428.5714285714287</v>
      </c>
    </row>
    <row r="25" spans="1:12">
      <c r="A25" s="135">
        <v>28</v>
      </c>
      <c r="B25" s="136">
        <v>12</v>
      </c>
      <c r="C25" s="136">
        <v>12</v>
      </c>
      <c r="D25" s="136">
        <v>12</v>
      </c>
      <c r="E25" s="136">
        <v>12</v>
      </c>
      <c r="F25" s="138"/>
      <c r="G25" s="143"/>
      <c r="H25" s="140">
        <f t="shared" si="6"/>
        <v>1440</v>
      </c>
      <c r="I25" s="137">
        <f>PROGRESSION!K21</f>
        <v>0</v>
      </c>
      <c r="J25" s="139">
        <f t="shared" si="7"/>
        <v>0</v>
      </c>
      <c r="K25" s="141">
        <v>0</v>
      </c>
      <c r="L25" s="142">
        <f t="shared" si="8"/>
        <v>0</v>
      </c>
    </row>
    <row r="26" spans="1:12">
      <c r="A26" s="135">
        <v>29</v>
      </c>
      <c r="B26" s="136">
        <v>12</v>
      </c>
      <c r="C26" s="136">
        <v>12</v>
      </c>
      <c r="D26" s="136">
        <v>12</v>
      </c>
      <c r="E26" s="136">
        <v>12</v>
      </c>
      <c r="F26" s="138"/>
      <c r="G26" s="143"/>
      <c r="H26" s="140">
        <f t="shared" si="6"/>
        <v>1440</v>
      </c>
      <c r="I26" s="137">
        <f>PROGRESSION!K22</f>
        <v>0</v>
      </c>
      <c r="J26" s="139">
        <f t="shared" si="7"/>
        <v>0</v>
      </c>
      <c r="K26" s="141">
        <v>0</v>
      </c>
      <c r="L26" s="142">
        <f t="shared" si="8"/>
        <v>0</v>
      </c>
    </row>
    <row r="27" spans="1:12">
      <c r="A27" s="135">
        <v>30</v>
      </c>
      <c r="B27" s="136">
        <v>12</v>
      </c>
      <c r="C27" s="136">
        <v>12</v>
      </c>
      <c r="D27" s="136">
        <v>12</v>
      </c>
      <c r="E27" s="136">
        <v>12</v>
      </c>
      <c r="F27" s="138"/>
      <c r="G27" s="143"/>
      <c r="H27" s="140">
        <f t="shared" si="6"/>
        <v>1440</v>
      </c>
      <c r="I27" s="137">
        <f>PROGRESSION!K23</f>
        <v>0</v>
      </c>
      <c r="J27" s="139">
        <f t="shared" si="7"/>
        <v>0</v>
      </c>
      <c r="K27" s="141">
        <v>0</v>
      </c>
      <c r="L27" s="142">
        <f t="shared" si="8"/>
        <v>0</v>
      </c>
    </row>
    <row r="28" spans="1:12">
      <c r="A28" s="135">
        <v>31</v>
      </c>
      <c r="B28" s="136">
        <v>12</v>
      </c>
      <c r="C28" s="136">
        <v>12</v>
      </c>
      <c r="D28" s="136">
        <v>12</v>
      </c>
      <c r="E28" s="136">
        <v>12</v>
      </c>
      <c r="F28" s="138"/>
      <c r="G28" s="143"/>
      <c r="H28" s="140">
        <f t="shared" si="6"/>
        <v>1440</v>
      </c>
      <c r="I28" s="137">
        <f>PROGRESSION!K24</f>
        <v>0</v>
      </c>
      <c r="J28" s="139">
        <f t="shared" si="7"/>
        <v>0</v>
      </c>
      <c r="K28" s="141">
        <v>0</v>
      </c>
      <c r="L28" s="142">
        <f t="shared" si="8"/>
        <v>0</v>
      </c>
    </row>
    <row r="29" spans="1:12">
      <c r="A29" s="129" t="s">
        <v>191</v>
      </c>
      <c r="B29" s="128"/>
      <c r="C29" s="128"/>
      <c r="D29" s="128"/>
      <c r="E29" s="128"/>
      <c r="F29" s="128"/>
      <c r="G29" s="128"/>
      <c r="H29" s="124">
        <f>SUM(H22:H28)</f>
        <v>10080</v>
      </c>
      <c r="I29" s="128"/>
      <c r="J29" s="124">
        <f>SUM(J22:J28)</f>
        <v>1428.5714285714287</v>
      </c>
      <c r="K29" s="124">
        <f>SUM(K22:K28)</f>
        <v>0</v>
      </c>
      <c r="L29" s="124">
        <f>J29-K29</f>
        <v>1428.5714285714287</v>
      </c>
    </row>
    <row r="30" spans="1:12">
      <c r="A30" s="128" t="s">
        <v>192</v>
      </c>
      <c r="B30" s="128"/>
      <c r="C30" s="128"/>
      <c r="D30" s="128"/>
      <c r="E30" s="128"/>
      <c r="F30" s="128"/>
      <c r="G30" s="128"/>
      <c r="H30" s="125">
        <v>-80</v>
      </c>
      <c r="I30" s="128"/>
      <c r="J30" s="128"/>
      <c r="K30" s="128"/>
      <c r="L30" s="128"/>
    </row>
    <row r="31" spans="1:12">
      <c r="A31" s="130" t="s">
        <v>197</v>
      </c>
      <c r="B31" s="128"/>
      <c r="C31" s="128"/>
      <c r="D31" s="128"/>
      <c r="E31" s="128"/>
      <c r="F31" s="128"/>
      <c r="G31" s="128"/>
      <c r="H31" s="127">
        <f>H29+H30</f>
        <v>10000</v>
      </c>
      <c r="I31" s="128"/>
      <c r="J31" s="127">
        <f>J29</f>
        <v>1428.5714285714287</v>
      </c>
      <c r="K31" s="127">
        <f>K29</f>
        <v>0</v>
      </c>
      <c r="L31" s="127">
        <f>L29</f>
        <v>1428.5714285714287</v>
      </c>
    </row>
    <row r="32" spans="1:1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</row>
    <row r="33" spans="1:12" ht="15" thickBot="1">
      <c r="A33" s="132" t="s">
        <v>198</v>
      </c>
      <c r="B33" s="132"/>
      <c r="C33" s="132"/>
      <c r="D33" s="132"/>
      <c r="E33" s="132"/>
      <c r="F33" s="132"/>
      <c r="G33" s="132"/>
      <c r="H33" s="144">
        <f>H18+H31</f>
        <v>42000</v>
      </c>
      <c r="I33" s="132"/>
      <c r="J33" s="144">
        <f>J18+J31</f>
        <v>8813.1868131868141</v>
      </c>
      <c r="K33" s="144">
        <f>K18+K31</f>
        <v>0</v>
      </c>
      <c r="L33" s="144">
        <f>J33-K33</f>
        <v>8813.1868131868141</v>
      </c>
    </row>
    <row r="34" spans="1:12" ht="15" thickTop="1">
      <c r="A34" s="145" t="s">
        <v>199</v>
      </c>
      <c r="B34" s="145"/>
      <c r="C34" s="145"/>
      <c r="D34" s="145"/>
      <c r="E34" s="145"/>
      <c r="F34" s="145"/>
      <c r="G34" s="145"/>
      <c r="H34" s="146">
        <f>H33/7</f>
        <v>6000</v>
      </c>
      <c r="I34" s="145"/>
      <c r="J34" s="145"/>
      <c r="K34" s="145"/>
      <c r="L34" s="145"/>
    </row>
    <row r="36" spans="1:12" ht="15.6">
      <c r="A36" s="152" t="s">
        <v>227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</row>
    <row r="37" spans="1:12" ht="109.95" customHeight="1">
      <c r="A37" s="131" t="s">
        <v>113</v>
      </c>
      <c r="B37" s="206" t="s">
        <v>223</v>
      </c>
      <c r="C37" s="206"/>
      <c r="D37" s="206"/>
      <c r="E37" s="206"/>
      <c r="F37" s="206"/>
      <c r="G37" s="206" t="s">
        <v>224</v>
      </c>
      <c r="H37" s="206"/>
      <c r="I37" s="206"/>
      <c r="J37" s="206"/>
      <c r="K37" s="131" t="s">
        <v>161</v>
      </c>
      <c r="L37" s="131" t="s">
        <v>212</v>
      </c>
    </row>
    <row r="38" spans="1:12" ht="109.95" customHeight="1">
      <c r="A38" s="205">
        <v>24</v>
      </c>
      <c r="B38" s="203" t="e" vm="2">
        <v>#VALUE!</v>
      </c>
      <c r="C38" s="203" t="e" vm="3">
        <v>#VALUE!</v>
      </c>
      <c r="D38" s="203" t="s">
        <v>230</v>
      </c>
      <c r="E38" s="208" t="s">
        <v>230</v>
      </c>
      <c r="F38" s="209"/>
      <c r="G38" s="203" t="s">
        <v>230</v>
      </c>
      <c r="H38" s="203" t="s">
        <v>230</v>
      </c>
      <c r="I38" s="203" t="s">
        <v>230</v>
      </c>
      <c r="J38" s="203" t="s">
        <v>230</v>
      </c>
      <c r="K38" s="207">
        <v>0.5</v>
      </c>
      <c r="L38" s="204">
        <v>0</v>
      </c>
    </row>
    <row r="39" spans="1:12" ht="109.95" customHeight="1">
      <c r="A39" s="205">
        <v>25</v>
      </c>
      <c r="B39" s="203" t="e" vm="4">
        <v>#VALUE!</v>
      </c>
      <c r="C39" s="203" t="e" vm="5">
        <v>#VALUE!</v>
      </c>
      <c r="D39" s="203" t="s">
        <v>230</v>
      </c>
      <c r="E39" s="208" t="s">
        <v>230</v>
      </c>
      <c r="F39" s="209"/>
      <c r="G39" s="203" t="s">
        <v>230</v>
      </c>
      <c r="H39" s="203" t="s">
        <v>230</v>
      </c>
      <c r="I39" s="203" t="s">
        <v>230</v>
      </c>
      <c r="J39" s="203" t="s">
        <v>230</v>
      </c>
      <c r="K39" s="207">
        <v>0.5</v>
      </c>
      <c r="L39" s="204">
        <f t="shared" ref="K39:L45" si="9">J9</f>
        <v>2461.5384615384614</v>
      </c>
    </row>
    <row r="40" spans="1:12" ht="109.95" customHeight="1">
      <c r="A40" s="205">
        <v>26</v>
      </c>
      <c r="B40" s="203" t="s">
        <v>230</v>
      </c>
      <c r="C40" s="203"/>
      <c r="D40" s="203" t="s">
        <v>230</v>
      </c>
      <c r="E40" s="208" t="s">
        <v>230</v>
      </c>
      <c r="F40" s="209"/>
      <c r="G40" s="203" t="s">
        <v>230</v>
      </c>
      <c r="H40" s="203" t="s">
        <v>230</v>
      </c>
      <c r="I40" s="203" t="s">
        <v>230</v>
      </c>
      <c r="J40" s="203" t="s">
        <v>230</v>
      </c>
      <c r="K40" s="207">
        <f t="shared" si="9"/>
        <v>0</v>
      </c>
      <c r="L40" s="204">
        <f t="shared" si="9"/>
        <v>0</v>
      </c>
    </row>
    <row r="41" spans="1:12" ht="109.95" customHeight="1">
      <c r="A41" s="205">
        <v>27</v>
      </c>
      <c r="B41" s="203" t="e" vm="6">
        <v>#VALUE!</v>
      </c>
      <c r="C41" s="203" t="e" vm="7">
        <v>#VALUE!</v>
      </c>
      <c r="D41" s="203" t="e" vm="8">
        <v>#VALUE!</v>
      </c>
      <c r="E41" s="208" t="e" vm="9">
        <v>#VALUE!</v>
      </c>
      <c r="F41" s="209"/>
      <c r="G41" s="203" t="e" vm="10">
        <v>#VALUE!</v>
      </c>
      <c r="H41" s="203" t="e" vm="11">
        <v>#VALUE!</v>
      </c>
      <c r="I41" s="203" t="e" vm="12">
        <v>#VALUE!</v>
      </c>
      <c r="J41" s="203" t="e" vm="13">
        <v>#VALUE!</v>
      </c>
      <c r="K41" s="207">
        <f t="shared" si="9"/>
        <v>1</v>
      </c>
      <c r="L41" s="204">
        <f t="shared" si="9"/>
        <v>4923.0769230769229</v>
      </c>
    </row>
    <row r="42" spans="1:12" ht="109.95" customHeight="1">
      <c r="A42" s="205">
        <v>28</v>
      </c>
      <c r="B42" s="203" t="s">
        <v>230</v>
      </c>
      <c r="C42" s="203" t="s">
        <v>230</v>
      </c>
      <c r="D42" s="203" t="s">
        <v>230</v>
      </c>
      <c r="E42" s="208" t="s">
        <v>230</v>
      </c>
      <c r="F42" s="209"/>
      <c r="G42" s="203" t="s">
        <v>230</v>
      </c>
      <c r="H42" s="203" t="s">
        <v>230</v>
      </c>
      <c r="I42" s="203" t="s">
        <v>230</v>
      </c>
      <c r="J42" s="203" t="s">
        <v>230</v>
      </c>
      <c r="K42" s="207">
        <f t="shared" si="9"/>
        <v>0</v>
      </c>
      <c r="L42" s="204">
        <f t="shared" si="9"/>
        <v>0</v>
      </c>
    </row>
    <row r="43" spans="1:12" ht="109.95" customHeight="1">
      <c r="A43" s="205">
        <v>29</v>
      </c>
      <c r="B43" s="203" t="s">
        <v>230</v>
      </c>
      <c r="C43" s="203" t="s">
        <v>230</v>
      </c>
      <c r="D43" s="203" t="s">
        <v>230</v>
      </c>
      <c r="E43" s="208" t="s">
        <v>230</v>
      </c>
      <c r="F43" s="209"/>
      <c r="G43" s="203" t="s">
        <v>230</v>
      </c>
      <c r="H43" s="203" t="s">
        <v>230</v>
      </c>
      <c r="I43" s="203" t="s">
        <v>230</v>
      </c>
      <c r="J43" s="203" t="s">
        <v>230</v>
      </c>
      <c r="K43" s="207">
        <f t="shared" si="9"/>
        <v>0</v>
      </c>
      <c r="L43" s="204">
        <f t="shared" si="9"/>
        <v>0</v>
      </c>
    </row>
    <row r="44" spans="1:12" ht="18">
      <c r="A44" s="205">
        <v>30</v>
      </c>
      <c r="B44" s="203" t="s">
        <v>230</v>
      </c>
      <c r="C44" s="203" t="s">
        <v>230</v>
      </c>
      <c r="D44" s="203" t="s">
        <v>230</v>
      </c>
      <c r="E44" s="208" t="s">
        <v>230</v>
      </c>
      <c r="F44" s="209"/>
      <c r="G44" s="203" t="s">
        <v>230</v>
      </c>
      <c r="H44" s="203" t="s">
        <v>230</v>
      </c>
      <c r="I44" s="203" t="s">
        <v>230</v>
      </c>
      <c r="J44" s="203" t="s">
        <v>230</v>
      </c>
      <c r="K44" s="207">
        <f t="shared" si="9"/>
        <v>0</v>
      </c>
      <c r="L44" s="204">
        <f t="shared" si="9"/>
        <v>0</v>
      </c>
    </row>
    <row r="45" spans="1:12" ht="18">
      <c r="A45" s="205">
        <v>31</v>
      </c>
      <c r="B45" s="203" t="s">
        <v>230</v>
      </c>
      <c r="C45" s="203" t="s">
        <v>230</v>
      </c>
      <c r="D45" s="203" t="s">
        <v>230</v>
      </c>
      <c r="E45" s="208" t="s">
        <v>230</v>
      </c>
      <c r="F45" s="209"/>
      <c r="G45" s="203" t="s">
        <v>230</v>
      </c>
      <c r="H45" s="203" t="s">
        <v>230</v>
      </c>
      <c r="I45" s="203" t="s">
        <v>230</v>
      </c>
      <c r="J45" s="203" t="s">
        <v>230</v>
      </c>
      <c r="K45" s="207">
        <f t="shared" si="9"/>
        <v>0</v>
      </c>
      <c r="L45" s="204">
        <f t="shared" si="9"/>
        <v>0</v>
      </c>
    </row>
    <row r="46" spans="1:12" ht="36" customHeight="1"/>
    <row r="47" spans="1:12">
      <c r="A47" s="151" t="s">
        <v>231</v>
      </c>
      <c r="B47" s="151"/>
      <c r="C47" s="151"/>
      <c r="D47" s="151" t="s">
        <v>225</v>
      </c>
      <c r="E47" s="151"/>
      <c r="F47" s="151"/>
      <c r="G47" s="151"/>
      <c r="H47" s="151" t="s">
        <v>232</v>
      </c>
      <c r="I47" s="151"/>
      <c r="J47" s="151"/>
      <c r="K47" s="151"/>
      <c r="L47" s="151"/>
    </row>
    <row r="48" spans="1:12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</row>
  </sheetData>
  <mergeCells count="21">
    <mergeCell ref="E42:F42"/>
    <mergeCell ref="E43:F43"/>
    <mergeCell ref="E44:F44"/>
    <mergeCell ref="E45:F45"/>
    <mergeCell ref="A1:L1"/>
    <mergeCell ref="A2:L2"/>
    <mergeCell ref="A6:L6"/>
    <mergeCell ref="A20:L20"/>
    <mergeCell ref="E38:F38"/>
    <mergeCell ref="A36:L36"/>
    <mergeCell ref="B37:F37"/>
    <mergeCell ref="G37:J37"/>
    <mergeCell ref="E41:F41"/>
    <mergeCell ref="E39:F39"/>
    <mergeCell ref="E40:F40"/>
    <mergeCell ref="A48:C48"/>
    <mergeCell ref="D48:G48"/>
    <mergeCell ref="H48:L48"/>
    <mergeCell ref="A47:C47"/>
    <mergeCell ref="D47:G47"/>
    <mergeCell ref="H47:L47"/>
  </mergeCells>
  <conditionalFormatting sqref="L8:L15">
    <cfRule type="cellIs" dxfId="5" priority="1" operator="greaterThan">
      <formula>0</formula>
    </cfRule>
  </conditionalFormatting>
  <conditionalFormatting sqref="L22:L28"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B424-A8EB-461D-9DCB-0905AE0A49B1}">
  <dimension ref="A1:O27"/>
  <sheetViews>
    <sheetView zoomScale="70" zoomScaleNormal="70" workbookViewId="0">
      <selection activeCell="Y12" sqref="Y12"/>
    </sheetView>
  </sheetViews>
  <sheetFormatPr defaultRowHeight="14.4"/>
  <cols>
    <col min="1" max="1" width="33.33203125" customWidth="1"/>
    <col min="2" max="2" width="13" customWidth="1"/>
    <col min="3" max="3" width="18.5546875" customWidth="1"/>
    <col min="4" max="4" width="33.33203125" customWidth="1"/>
    <col min="5" max="6" width="14.77734375" customWidth="1"/>
    <col min="7" max="7" width="13" customWidth="1"/>
    <col min="9" max="9" width="20.33203125" customWidth="1"/>
    <col min="10" max="10" width="13" customWidth="1"/>
    <col min="11" max="11" width="14.77734375" customWidth="1"/>
    <col min="12" max="12" width="16.6640625" customWidth="1"/>
    <col min="13" max="14" width="14.77734375" customWidth="1"/>
    <col min="15" max="15" width="13" customWidth="1"/>
  </cols>
  <sheetData>
    <row r="1" spans="1:15" ht="20.399999999999999">
      <c r="A1" s="198" t="s">
        <v>210</v>
      </c>
      <c r="B1" s="198"/>
      <c r="C1" s="198"/>
      <c r="D1" s="198"/>
      <c r="E1" s="198"/>
      <c r="F1" s="198"/>
      <c r="G1" s="198"/>
    </row>
    <row r="2" spans="1:15">
      <c r="A2" s="200" t="str">
        <f>PROGRESSION!A3</f>
        <v>Report Date: 29 AUGUST 2026</v>
      </c>
      <c r="B2" s="200"/>
      <c r="C2" s="200"/>
      <c r="D2" s="200"/>
      <c r="E2" s="200"/>
      <c r="F2" s="200"/>
      <c r="G2" s="200"/>
    </row>
    <row r="3" spans="1:15">
      <c r="A3" s="57" t="s">
        <v>200</v>
      </c>
      <c r="B3" s="118">
        <v>80</v>
      </c>
      <c r="C3" s="58" t="s">
        <v>211</v>
      </c>
    </row>
    <row r="5" spans="1:15">
      <c r="A5" s="202" t="s">
        <v>22</v>
      </c>
      <c r="B5" s="202"/>
      <c r="C5" s="202"/>
      <c r="D5" s="202"/>
      <c r="E5" s="202"/>
      <c r="F5" s="202"/>
      <c r="G5" s="202"/>
      <c r="I5" s="202" t="s">
        <v>209</v>
      </c>
      <c r="J5" s="202"/>
      <c r="K5" s="202"/>
      <c r="L5" s="202"/>
      <c r="M5" s="202"/>
      <c r="N5" s="202"/>
      <c r="O5" s="202"/>
    </row>
    <row r="6" spans="1:15">
      <c r="A6" s="59" t="s">
        <v>113</v>
      </c>
      <c r="B6" s="59" t="s">
        <v>201</v>
      </c>
      <c r="C6" s="59" t="s">
        <v>202</v>
      </c>
      <c r="D6" s="59" t="s">
        <v>203</v>
      </c>
      <c r="E6" s="59" t="s">
        <v>204</v>
      </c>
      <c r="F6" s="59" t="s">
        <v>205</v>
      </c>
      <c r="G6" s="59" t="s">
        <v>125</v>
      </c>
      <c r="I6" s="59" t="s">
        <v>113</v>
      </c>
      <c r="J6" s="59" t="s">
        <v>201</v>
      </c>
      <c r="K6" s="59" t="s">
        <v>202</v>
      </c>
      <c r="L6" s="59" t="s">
        <v>203</v>
      </c>
      <c r="M6" s="59" t="s">
        <v>204</v>
      </c>
      <c r="N6" s="59" t="s">
        <v>205</v>
      </c>
      <c r="O6" s="59" t="s">
        <v>125</v>
      </c>
    </row>
    <row r="7" spans="1:15">
      <c r="A7" s="119">
        <v>13</v>
      </c>
      <c r="B7" s="121">
        <v>8.6</v>
      </c>
      <c r="C7" s="114">
        <f>B7*$B$3</f>
        <v>688</v>
      </c>
      <c r="D7" s="95" t="s">
        <v>206</v>
      </c>
      <c r="E7" s="107">
        <v>300</v>
      </c>
      <c r="F7" s="114">
        <f>C7+N(E7)</f>
        <v>988</v>
      </c>
      <c r="G7" s="122" t="str">
        <f>IF(N(PROGRESSION!F6)&gt;=1,"DONE",IF(N(PROGRESSION!F6)&gt;0,"WIP",""))</f>
        <v>DONE</v>
      </c>
      <c r="I7" s="119">
        <v>21</v>
      </c>
      <c r="J7" s="121">
        <v>4.5</v>
      </c>
      <c r="K7" s="114">
        <f>J7*$B$3</f>
        <v>360</v>
      </c>
      <c r="M7" s="107">
        <v>0</v>
      </c>
      <c r="N7" s="114">
        <f>K7+N(M7)</f>
        <v>360</v>
      </c>
      <c r="O7" s="122" t="str">
        <f>IF(N(PROGRESSION!F34)&gt;=1,"DONE",IF(N(PROGRESSION!F34)&gt;0,"WIP",""))</f>
        <v>DONE</v>
      </c>
    </row>
    <row r="8" spans="1:15">
      <c r="A8" s="119">
        <v>14</v>
      </c>
      <c r="B8" s="121">
        <v>4.5</v>
      </c>
      <c r="C8" s="114">
        <f t="shared" ref="C8:C25" si="0">B8*$B$3</f>
        <v>360</v>
      </c>
      <c r="D8" s="95" t="s">
        <v>207</v>
      </c>
      <c r="E8" s="107">
        <v>300</v>
      </c>
      <c r="F8" s="114">
        <f t="shared" ref="F8:F25" si="1">C8+N(E8)</f>
        <v>660</v>
      </c>
      <c r="G8" s="122" t="str">
        <f>IF(N(PROGRESSION!F7)&gt;=1,"DONE",IF(N(PROGRESSION!F7)&gt;0,"WIP",""))</f>
        <v>DONE</v>
      </c>
      <c r="I8" s="119">
        <v>22</v>
      </c>
      <c r="J8" s="121">
        <v>4.5</v>
      </c>
      <c r="K8" s="114">
        <f t="shared" ref="K8:K17" si="2">J8*$B$3</f>
        <v>360</v>
      </c>
      <c r="M8" s="107">
        <v>0</v>
      </c>
      <c r="N8" s="114">
        <f t="shared" ref="N8:N17" si="3">K8+N(M8)</f>
        <v>360</v>
      </c>
      <c r="O8" s="122" t="str">
        <f>IF(N(PROGRESSION!F35)&gt;=1,"DONE",IF(N(PROGRESSION!F35)&gt;0,"WIP",""))</f>
        <v/>
      </c>
    </row>
    <row r="9" spans="1:15">
      <c r="A9" s="119">
        <v>15</v>
      </c>
      <c r="B9" s="121">
        <v>4.5</v>
      </c>
      <c r="C9" s="114">
        <f t="shared" si="0"/>
        <v>360</v>
      </c>
      <c r="E9" s="107">
        <v>0</v>
      </c>
      <c r="F9" s="114">
        <f t="shared" si="1"/>
        <v>360</v>
      </c>
      <c r="G9" s="122" t="str">
        <f>IF(N(PROGRESSION!F8)&gt;=1,"DONE",IF(N(PROGRESSION!F8)&gt;0,"WIP",""))</f>
        <v>DONE</v>
      </c>
      <c r="I9" s="119">
        <v>23</v>
      </c>
      <c r="J9" s="121">
        <v>4.5</v>
      </c>
      <c r="K9" s="114">
        <f t="shared" si="2"/>
        <v>360</v>
      </c>
      <c r="M9" s="107">
        <v>0</v>
      </c>
      <c r="N9" s="114">
        <f t="shared" si="3"/>
        <v>360</v>
      </c>
      <c r="O9" s="122" t="str">
        <f>IF(N(PROGRESSION!F36)&gt;=1,"DONE",IF(N(PROGRESSION!F36)&gt;0,"WIP",""))</f>
        <v/>
      </c>
    </row>
    <row r="10" spans="1:15">
      <c r="A10" s="119">
        <v>16</v>
      </c>
      <c r="B10" s="121">
        <v>4.5</v>
      </c>
      <c r="C10" s="114">
        <f t="shared" si="0"/>
        <v>360</v>
      </c>
      <c r="E10" s="107">
        <v>0</v>
      </c>
      <c r="F10" s="114">
        <f t="shared" si="1"/>
        <v>360</v>
      </c>
      <c r="G10" s="122" t="str">
        <f>IF(N(PROGRESSION!F9)&gt;=1,"DONE",IF(N(PROGRESSION!F9)&gt;0,"WIP",""))</f>
        <v>DONE</v>
      </c>
      <c r="I10" s="119">
        <v>24</v>
      </c>
      <c r="J10" s="121">
        <v>4.5</v>
      </c>
      <c r="K10" s="114">
        <f t="shared" si="2"/>
        <v>360</v>
      </c>
      <c r="M10" s="107">
        <v>0</v>
      </c>
      <c r="N10" s="114">
        <f t="shared" si="3"/>
        <v>360</v>
      </c>
      <c r="O10" s="122" t="str">
        <f>IF(N(PROGRESSION!F37)&gt;=1,"DONE",IF(N(PROGRESSION!F37)&gt;0,"WIP",""))</f>
        <v/>
      </c>
    </row>
    <row r="11" spans="1:15">
      <c r="A11" s="119">
        <v>17</v>
      </c>
      <c r="B11" s="121">
        <v>4.5</v>
      </c>
      <c r="C11" s="114">
        <f t="shared" si="0"/>
        <v>360</v>
      </c>
      <c r="E11" s="107">
        <v>0</v>
      </c>
      <c r="F11" s="114">
        <f t="shared" si="1"/>
        <v>360</v>
      </c>
      <c r="G11" s="122" t="str">
        <f>IF(N(PROGRESSION!F10)&gt;=1,"DONE",IF(N(PROGRESSION!F10)&gt;0,"WIP",""))</f>
        <v>DONE</v>
      </c>
      <c r="I11" s="119">
        <v>25</v>
      </c>
      <c r="J11" s="121">
        <v>4.5</v>
      </c>
      <c r="K11" s="114">
        <f t="shared" si="2"/>
        <v>360</v>
      </c>
      <c r="M11" s="107">
        <v>0</v>
      </c>
      <c r="N11" s="114">
        <f t="shared" si="3"/>
        <v>360</v>
      </c>
      <c r="O11" s="122" t="str">
        <f>IF(N(PROGRESSION!F38)&gt;=1,"DONE",IF(N(PROGRESSION!F38)&gt;0,"WIP",""))</f>
        <v/>
      </c>
    </row>
    <row r="12" spans="1:15">
      <c r="A12" s="119">
        <v>18</v>
      </c>
      <c r="B12" s="121">
        <v>4.5</v>
      </c>
      <c r="C12" s="114">
        <f t="shared" si="0"/>
        <v>360</v>
      </c>
      <c r="E12" s="107">
        <v>0</v>
      </c>
      <c r="F12" s="114">
        <f t="shared" si="1"/>
        <v>360</v>
      </c>
      <c r="G12" s="122" t="str">
        <f>IF(N(PROGRESSION!F11)&gt;=1,"DONE",IF(N(PROGRESSION!F11)&gt;0,"WIP",""))</f>
        <v>DONE</v>
      </c>
      <c r="I12" s="119">
        <v>26</v>
      </c>
      <c r="J12" s="121">
        <v>4.5</v>
      </c>
      <c r="K12" s="114">
        <f t="shared" si="2"/>
        <v>360</v>
      </c>
      <c r="M12" s="107">
        <v>0</v>
      </c>
      <c r="N12" s="114">
        <f t="shared" si="3"/>
        <v>360</v>
      </c>
      <c r="O12" s="122" t="str">
        <f>IF(N(PROGRESSION!F39)&gt;=1,"DONE",IF(N(PROGRESSION!F39)&gt;0,"WIP",""))</f>
        <v/>
      </c>
    </row>
    <row r="13" spans="1:15">
      <c r="A13" s="119">
        <v>19</v>
      </c>
      <c r="B13" s="121">
        <v>4.5</v>
      </c>
      <c r="C13" s="114">
        <f t="shared" si="0"/>
        <v>360</v>
      </c>
      <c r="E13" s="107">
        <v>0</v>
      </c>
      <c r="F13" s="114">
        <f t="shared" si="1"/>
        <v>360</v>
      </c>
      <c r="G13" s="122" t="str">
        <f>IF(N(PROGRESSION!F12)&gt;=1,"DONE",IF(N(PROGRESSION!F12)&gt;0,"WIP",""))</f>
        <v>DONE</v>
      </c>
      <c r="I13" s="119">
        <v>27</v>
      </c>
      <c r="J13" s="121">
        <v>5.0999999999999996</v>
      </c>
      <c r="K13" s="114">
        <f t="shared" si="2"/>
        <v>408</v>
      </c>
      <c r="M13" s="107">
        <v>0</v>
      </c>
      <c r="N13" s="114">
        <f t="shared" si="3"/>
        <v>408</v>
      </c>
      <c r="O13" s="122" t="str">
        <f>IF(N(PROGRESSION!F40)&gt;=1,"DONE",IF(N(PROGRESSION!F40)&gt;0,"WIP",""))</f>
        <v/>
      </c>
    </row>
    <row r="14" spans="1:15">
      <c r="A14" s="119">
        <v>20</v>
      </c>
      <c r="B14" s="121">
        <v>4.5</v>
      </c>
      <c r="C14" s="114">
        <f t="shared" si="0"/>
        <v>360</v>
      </c>
      <c r="E14" s="107">
        <v>0</v>
      </c>
      <c r="F14" s="114">
        <f t="shared" si="1"/>
        <v>360</v>
      </c>
      <c r="G14" s="122" t="str">
        <f>IF(N(PROGRESSION!F13)&gt;=1,"DONE",IF(N(PROGRESSION!F13)&gt;0,"WIP",""))</f>
        <v>DONE</v>
      </c>
      <c r="I14" s="119">
        <v>28</v>
      </c>
      <c r="J14" s="121">
        <v>5.0999999999999996</v>
      </c>
      <c r="K14" s="114">
        <f t="shared" si="2"/>
        <v>408</v>
      </c>
      <c r="M14" s="107">
        <v>0</v>
      </c>
      <c r="N14" s="114">
        <f t="shared" si="3"/>
        <v>408</v>
      </c>
      <c r="O14" s="122" t="str">
        <f>IF(N(PROGRESSION!F41)&gt;=1,"DONE",IF(N(PROGRESSION!F41)&gt;0,"WIP",""))</f>
        <v/>
      </c>
    </row>
    <row r="15" spans="1:15">
      <c r="A15" s="119">
        <v>21</v>
      </c>
      <c r="B15" s="121">
        <v>4.5</v>
      </c>
      <c r="C15" s="114">
        <f t="shared" si="0"/>
        <v>360</v>
      </c>
      <c r="E15" s="107">
        <v>0</v>
      </c>
      <c r="F15" s="114">
        <f t="shared" si="1"/>
        <v>360</v>
      </c>
      <c r="G15" s="122" t="str">
        <f>IF(N(PROGRESSION!F14)&gt;=1,"DONE",IF(N(PROGRESSION!F14)&gt;0,"WIP",""))</f>
        <v>DONE</v>
      </c>
      <c r="I15" s="119">
        <v>29</v>
      </c>
      <c r="J15" s="121">
        <v>5.0999999999999996</v>
      </c>
      <c r="K15" s="114">
        <f t="shared" si="2"/>
        <v>408</v>
      </c>
      <c r="M15" s="107">
        <v>0</v>
      </c>
      <c r="N15" s="114">
        <f t="shared" si="3"/>
        <v>408</v>
      </c>
      <c r="O15" s="122" t="str">
        <f>IF(N(PROGRESSION!F42)&gt;=1,"DONE",IF(N(PROGRESSION!F42)&gt;0,"WIP",""))</f>
        <v/>
      </c>
    </row>
    <row r="16" spans="1:15">
      <c r="A16" s="119">
        <v>22</v>
      </c>
      <c r="B16" s="121">
        <v>4.5</v>
      </c>
      <c r="C16" s="114">
        <f t="shared" si="0"/>
        <v>360</v>
      </c>
      <c r="E16" s="107">
        <v>0</v>
      </c>
      <c r="F16" s="114">
        <f t="shared" si="1"/>
        <v>360</v>
      </c>
      <c r="G16" s="122" t="str">
        <f>IF(N(PROGRESSION!F15)&gt;=1,"DONE",IF(N(PROGRESSION!F15)&gt;0,"WIP",""))</f>
        <v/>
      </c>
      <c r="I16" s="119">
        <v>30</v>
      </c>
      <c r="J16" s="121">
        <v>6</v>
      </c>
      <c r="K16" s="114">
        <f t="shared" si="2"/>
        <v>480</v>
      </c>
      <c r="M16" s="107">
        <v>0</v>
      </c>
      <c r="N16" s="114">
        <f t="shared" si="3"/>
        <v>480</v>
      </c>
      <c r="O16" s="122" t="str">
        <f>IF(N(PROGRESSION!F43)&gt;=1,"DONE",IF(N(PROGRESSION!F43)&gt;0,"WIP",""))</f>
        <v/>
      </c>
    </row>
    <row r="17" spans="1:15">
      <c r="A17" s="119">
        <v>23</v>
      </c>
      <c r="B17" s="121">
        <v>4.5</v>
      </c>
      <c r="C17" s="114">
        <f t="shared" si="0"/>
        <v>360</v>
      </c>
      <c r="E17" s="107">
        <v>0</v>
      </c>
      <c r="F17" s="114">
        <f t="shared" si="1"/>
        <v>360</v>
      </c>
      <c r="G17" s="122" t="str">
        <f>IF(N(PROGRESSION!F16)&gt;=1,"DONE",IF(N(PROGRESSION!F16)&gt;0,"WIP",""))</f>
        <v/>
      </c>
      <c r="I17" s="119">
        <v>31</v>
      </c>
      <c r="J17" s="121">
        <v>4.9000000000000004</v>
      </c>
      <c r="K17" s="114">
        <f t="shared" si="2"/>
        <v>392</v>
      </c>
      <c r="M17" s="107">
        <v>0</v>
      </c>
      <c r="N17" s="114">
        <f t="shared" si="3"/>
        <v>392</v>
      </c>
      <c r="O17" s="122" t="str">
        <f>IF(N(PROGRESSION!F44)&gt;=1,"DONE",IF(N(PROGRESSION!F44)&gt;0,"WIP",""))</f>
        <v/>
      </c>
    </row>
    <row r="18" spans="1:15" ht="15" thickBot="1">
      <c r="A18" s="119">
        <v>24</v>
      </c>
      <c r="B18" s="121">
        <v>4.5</v>
      </c>
      <c r="C18" s="114">
        <f t="shared" si="0"/>
        <v>360</v>
      </c>
      <c r="E18" s="107">
        <v>0</v>
      </c>
      <c r="F18" s="114">
        <f t="shared" si="1"/>
        <v>360</v>
      </c>
      <c r="G18" s="122" t="str">
        <f>IF(N(PROGRESSION!F17)&gt;=1,"DONE",IF(N(PROGRESSION!F17)&gt;0,"WIP",""))</f>
        <v/>
      </c>
      <c r="I18" s="97" t="s">
        <v>86</v>
      </c>
      <c r="K18" s="108">
        <f>SUM(K7:K17)</f>
        <v>4256</v>
      </c>
      <c r="M18" s="108">
        <f>SUM(M7:M17)</f>
        <v>0</v>
      </c>
      <c r="N18" s="108">
        <f>SUM(N7:N17)</f>
        <v>4256</v>
      </c>
    </row>
    <row r="19" spans="1:15" ht="15" thickTop="1">
      <c r="A19" s="119">
        <v>25</v>
      </c>
      <c r="B19" s="121">
        <v>4.5</v>
      </c>
      <c r="C19" s="114">
        <f t="shared" si="0"/>
        <v>360</v>
      </c>
      <c r="E19" s="107">
        <v>0</v>
      </c>
      <c r="F19" s="114">
        <f t="shared" si="1"/>
        <v>360</v>
      </c>
      <c r="G19" s="122" t="str">
        <f>IF(N(PROGRESSION!F18)&gt;=1,"DONE",IF(N(PROGRESSION!F18)&gt;0,"WIP",""))</f>
        <v/>
      </c>
      <c r="I19" s="60" t="s">
        <v>208</v>
      </c>
      <c r="N19" s="120">
        <f>SUMIF(O7:O17,"DONE",N7:N17)</f>
        <v>360</v>
      </c>
    </row>
    <row r="20" spans="1:15">
      <c r="A20" s="119">
        <v>26</v>
      </c>
      <c r="B20" s="121">
        <v>4.5</v>
      </c>
      <c r="C20" s="114">
        <f t="shared" si="0"/>
        <v>360</v>
      </c>
      <c r="E20" s="107">
        <v>0</v>
      </c>
      <c r="F20" s="114">
        <f t="shared" si="1"/>
        <v>360</v>
      </c>
      <c r="G20" s="122" t="str">
        <f>IF(N(PROGRESSION!F19)&gt;=1,"DONE",IF(N(PROGRESSION!F19)&gt;0,"WIP",""))</f>
        <v/>
      </c>
    </row>
    <row r="21" spans="1:15">
      <c r="A21" s="119">
        <v>27</v>
      </c>
      <c r="B21" s="121">
        <v>5.0999999999999996</v>
      </c>
      <c r="C21" s="114">
        <f t="shared" si="0"/>
        <v>408</v>
      </c>
      <c r="E21" s="107">
        <v>0</v>
      </c>
      <c r="F21" s="114">
        <f t="shared" si="1"/>
        <v>408</v>
      </c>
      <c r="G21" s="122" t="str">
        <f>IF(N(PROGRESSION!F20)&gt;=1,"DONE",IF(N(PROGRESSION!F20)&gt;0,"WIP",""))</f>
        <v/>
      </c>
    </row>
    <row r="22" spans="1:15">
      <c r="A22" s="119">
        <v>28</v>
      </c>
      <c r="B22" s="121">
        <v>5.0999999999999996</v>
      </c>
      <c r="C22" s="114">
        <f t="shared" si="0"/>
        <v>408</v>
      </c>
      <c r="E22" s="107">
        <v>0</v>
      </c>
      <c r="F22" s="114">
        <f t="shared" si="1"/>
        <v>408</v>
      </c>
      <c r="G22" s="122" t="str">
        <f>IF(N(PROGRESSION!F21)&gt;=1,"DONE",IF(N(PROGRESSION!F21)&gt;0,"WIP",""))</f>
        <v/>
      </c>
    </row>
    <row r="23" spans="1:15">
      <c r="A23" s="119">
        <v>29</v>
      </c>
      <c r="B23" s="121">
        <v>5.0999999999999996</v>
      </c>
      <c r="C23" s="114">
        <f t="shared" si="0"/>
        <v>408</v>
      </c>
      <c r="E23" s="107">
        <v>0</v>
      </c>
      <c r="F23" s="114">
        <f t="shared" si="1"/>
        <v>408</v>
      </c>
      <c r="G23" s="122" t="str">
        <f>IF(N(PROGRESSION!F22)&gt;=1,"DONE",IF(N(PROGRESSION!F22)&gt;0,"WIP",""))</f>
        <v/>
      </c>
    </row>
    <row r="24" spans="1:15">
      <c r="A24" s="119">
        <v>30</v>
      </c>
      <c r="B24" s="121">
        <v>6</v>
      </c>
      <c r="C24" s="114">
        <f t="shared" si="0"/>
        <v>480</v>
      </c>
      <c r="E24" s="107">
        <v>0</v>
      </c>
      <c r="F24" s="114">
        <f t="shared" si="1"/>
        <v>480</v>
      </c>
      <c r="G24" s="122" t="str">
        <f>IF(N(PROGRESSION!F23)&gt;=1,"DONE",IF(N(PROGRESSION!F23)&gt;0,"WIP",""))</f>
        <v/>
      </c>
    </row>
    <row r="25" spans="1:15">
      <c r="A25" s="119">
        <v>31</v>
      </c>
      <c r="B25" s="121">
        <v>4.9000000000000004</v>
      </c>
      <c r="C25" s="114">
        <f t="shared" si="0"/>
        <v>392</v>
      </c>
      <c r="E25" s="107">
        <v>0</v>
      </c>
      <c r="F25" s="114">
        <f t="shared" si="1"/>
        <v>392</v>
      </c>
      <c r="G25" s="122" t="str">
        <f>IF(N(PROGRESSION!F24)&gt;=1,"DONE",IF(N(PROGRESSION!F24)&gt;0,"WIP",""))</f>
        <v/>
      </c>
    </row>
    <row r="26" spans="1:15" ht="15" thickBot="1">
      <c r="A26" s="97" t="s">
        <v>86</v>
      </c>
      <c r="C26" s="108">
        <f>SUM(C7:C25)</f>
        <v>7464</v>
      </c>
      <c r="E26" s="108">
        <f>SUM(E7:E25)</f>
        <v>600</v>
      </c>
      <c r="F26" s="108">
        <f>SUM(F7:F25)</f>
        <v>8064</v>
      </c>
    </row>
    <row r="27" spans="1:15" ht="15" thickTop="1">
      <c r="A27" s="60" t="s">
        <v>208</v>
      </c>
      <c r="F27" s="120">
        <f>SUMIF(G7:G25,"DONE",F7:F25)</f>
        <v>4168</v>
      </c>
    </row>
  </sheetData>
  <mergeCells count="4">
    <mergeCell ref="A1:G1"/>
    <mergeCell ref="A2:G2"/>
    <mergeCell ref="A5:G5"/>
    <mergeCell ref="I5:O5"/>
  </mergeCells>
  <conditionalFormatting sqref="G7:G25">
    <cfRule type="expression" dxfId="3" priority="1">
      <formula>$G7="DONE"</formula>
    </cfRule>
    <cfRule type="expression" dxfId="2" priority="2">
      <formula>$G7="WIP"</formula>
    </cfRule>
  </conditionalFormatting>
  <conditionalFormatting sqref="O7:O17">
    <cfRule type="expression" dxfId="1" priority="3">
      <formula>$O7="DONE"</formula>
    </cfRule>
    <cfRule type="expression" dxfId="0" priority="4">
      <formula>$O7="WIP"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PROGRESSION</vt:lpstr>
      <vt:lpstr>Sheet1</vt:lpstr>
      <vt:lpstr>Sheet2</vt:lpstr>
      <vt:lpstr>COMPARE</vt:lpstr>
      <vt:lpstr>FLOORS</vt:lpstr>
      <vt:lpstr>ORDER</vt:lpstr>
      <vt:lpstr>SITE REPORT</vt:lpstr>
      <vt:lpstr>PO LOG</vt:lpstr>
      <vt:lpstr>MANPOWER</vt:lpstr>
      <vt:lpstr>AIPOON</vt:lpstr>
      <vt:lpstr>ARIYAN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jessicaimaucka</cp:lastModifiedBy>
  <dcterms:created xsi:type="dcterms:W3CDTF">2026-08-27T03:51:38Z</dcterms:created>
  <dcterms:modified xsi:type="dcterms:W3CDTF">2026-09-02T04:25:13Z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29D4969D0E614AABA52DA1445888668C_11</vt:lpwstr>
  </property>
  <property fmtid="{D5CDD505-2E9C-101B-9397-08002B2CF9AE}" pid="3" name="KSOProductBuildVer">
    <vt:lpwstr>2057-12.2.0.23206</vt:lpwstr>
  </property>
</Properties>
</file>